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 Fieggen\Box Sync\1_Eendaagse_opleidingen\20171402_Basiscursus Vastgoedrekenen\Uitwerkingen\"/>
    </mc:Choice>
  </mc:AlternateContent>
  <bookViews>
    <workbookView xWindow="0" yWindow="0" windowWidth="28800" windowHeight="12135"/>
  </bookViews>
  <sheets>
    <sheet name="kasstroom 10 jaar - oplossing" sheetId="6" r:id="rId1"/>
    <sheet name="kasstroom BAR - uitwerking" sheetId="7" r:id="rId2"/>
    <sheet name="kasstroom 10 jaar BAR - oplossi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8" l="1"/>
  <c r="C19" i="6"/>
  <c r="C19" i="7"/>
  <c r="J32" i="8" l="1"/>
  <c r="H22" i="8"/>
  <c r="J22" i="8" s="1"/>
  <c r="I22" i="8"/>
  <c r="H23" i="8"/>
  <c r="I23" i="8"/>
  <c r="J23" i="8" s="1"/>
  <c r="H24" i="8"/>
  <c r="J24" i="8" s="1"/>
  <c r="I24" i="8"/>
  <c r="H25" i="8"/>
  <c r="J25" i="8" s="1"/>
  <c r="I25" i="8"/>
  <c r="H26" i="8"/>
  <c r="J26" i="8" s="1"/>
  <c r="I26" i="8"/>
  <c r="H27" i="8"/>
  <c r="J27" i="8" s="1"/>
  <c r="I27" i="8"/>
  <c r="H28" i="8"/>
  <c r="I28" i="8"/>
  <c r="J28" i="8"/>
  <c r="H29" i="8"/>
  <c r="I29" i="8"/>
  <c r="J29" i="8"/>
  <c r="H30" i="8"/>
  <c r="J30" i="8" s="1"/>
  <c r="I30" i="8"/>
  <c r="J21" i="8"/>
  <c r="I21" i="8"/>
  <c r="H21" i="8"/>
  <c r="G22" i="8"/>
  <c r="G23" i="8"/>
  <c r="G24" i="8"/>
  <c r="G25" i="8"/>
  <c r="G26" i="8"/>
  <c r="G27" i="8"/>
  <c r="G28" i="8"/>
  <c r="G29" i="8"/>
  <c r="G30" i="8"/>
  <c r="G21" i="8"/>
  <c r="K22" i="8"/>
  <c r="K23" i="8"/>
  <c r="K24" i="8" s="1"/>
  <c r="K25" i="8" s="1"/>
  <c r="K26" i="8" s="1"/>
  <c r="K27" i="8" s="1"/>
  <c r="K28" i="8" s="1"/>
  <c r="K29" i="8" s="1"/>
  <c r="K30" i="8" s="1"/>
  <c r="K21" i="8"/>
  <c r="C3" i="8"/>
  <c r="F21" i="8"/>
  <c r="F22" i="8" s="1"/>
  <c r="F23" i="8" s="1"/>
  <c r="F24" i="8" s="1"/>
  <c r="F25" i="8" s="1"/>
  <c r="F26" i="8" s="1"/>
  <c r="F27" i="8" s="1"/>
  <c r="F28" i="8" s="1"/>
  <c r="F29" i="8" s="1"/>
  <c r="F30" i="8" s="1"/>
  <c r="K20" i="8"/>
  <c r="G20" i="8"/>
  <c r="L15" i="8"/>
  <c r="C15" i="8"/>
  <c r="L14" i="8"/>
  <c r="L13" i="8"/>
  <c r="L12" i="8"/>
  <c r="L11" i="8"/>
  <c r="L10" i="8"/>
  <c r="L9" i="8"/>
  <c r="L8" i="8"/>
  <c r="L7" i="8"/>
  <c r="G7" i="8"/>
  <c r="L6" i="8"/>
  <c r="H6" i="8"/>
  <c r="H7" i="8" s="1"/>
  <c r="H8" i="8" s="1"/>
  <c r="H9" i="8" s="1"/>
  <c r="H10" i="8" s="1"/>
  <c r="H11" i="8" s="1"/>
  <c r="H12" i="8" s="1"/>
  <c r="H13" i="8" s="1"/>
  <c r="H14" i="8" s="1"/>
  <c r="H15" i="8" s="1"/>
  <c r="G6" i="8"/>
  <c r="J6" i="8" s="1"/>
  <c r="N6" i="8" s="1"/>
  <c r="F6" i="8"/>
  <c r="F7" i="8" s="1"/>
  <c r="F8" i="8" s="1"/>
  <c r="F9" i="8" s="1"/>
  <c r="F10" i="8" s="1"/>
  <c r="F11" i="8" s="1"/>
  <c r="F12" i="8" s="1"/>
  <c r="F13" i="8" s="1"/>
  <c r="F14" i="8" s="1"/>
  <c r="F15" i="8" s="1"/>
  <c r="L5" i="8"/>
  <c r="K5" i="8"/>
  <c r="N5" i="8" s="1"/>
  <c r="O5" i="8" s="1"/>
  <c r="C4" i="8"/>
  <c r="M15" i="8" s="1"/>
  <c r="J32" i="7"/>
  <c r="H22" i="7"/>
  <c r="J22" i="7" s="1"/>
  <c r="I22" i="7"/>
  <c r="H23" i="7"/>
  <c r="J23" i="7" s="1"/>
  <c r="I23" i="7"/>
  <c r="H24" i="7"/>
  <c r="J24" i="7" s="1"/>
  <c r="I24" i="7"/>
  <c r="H25" i="7"/>
  <c r="I25" i="7"/>
  <c r="J25" i="7"/>
  <c r="H26" i="7"/>
  <c r="I26" i="7"/>
  <c r="J26" i="7"/>
  <c r="H27" i="7"/>
  <c r="J27" i="7" s="1"/>
  <c r="I27" i="7"/>
  <c r="H28" i="7"/>
  <c r="I28" i="7"/>
  <c r="J28" i="7" s="1"/>
  <c r="H29" i="7"/>
  <c r="I29" i="7"/>
  <c r="J29" i="7" s="1"/>
  <c r="H30" i="7"/>
  <c r="J30" i="7" s="1"/>
  <c r="I30" i="7"/>
  <c r="J21" i="7"/>
  <c r="I21" i="7"/>
  <c r="H21" i="7"/>
  <c r="G22" i="7"/>
  <c r="G23" i="7"/>
  <c r="G24" i="7"/>
  <c r="G25" i="7"/>
  <c r="G26" i="7"/>
  <c r="G27" i="7"/>
  <c r="G28" i="7"/>
  <c r="G29" i="7"/>
  <c r="G30" i="7"/>
  <c r="C4" i="7" s="1"/>
  <c r="M15" i="7" s="1"/>
  <c r="G21" i="7"/>
  <c r="K22" i="7"/>
  <c r="K23" i="7" s="1"/>
  <c r="K24" i="7" s="1"/>
  <c r="K25" i="7" s="1"/>
  <c r="K26" i="7" s="1"/>
  <c r="K27" i="7" s="1"/>
  <c r="K28" i="7" s="1"/>
  <c r="K29" i="7" s="1"/>
  <c r="K30" i="7" s="1"/>
  <c r="K21" i="7"/>
  <c r="C3" i="7"/>
  <c r="F21" i="7"/>
  <c r="F22" i="7" s="1"/>
  <c r="F23" i="7" s="1"/>
  <c r="F24" i="7" s="1"/>
  <c r="F25" i="7" s="1"/>
  <c r="F26" i="7" s="1"/>
  <c r="F27" i="7" s="1"/>
  <c r="F28" i="7" s="1"/>
  <c r="F29" i="7" s="1"/>
  <c r="F30" i="7" s="1"/>
  <c r="K20" i="7"/>
  <c r="G20" i="7"/>
  <c r="L15" i="7"/>
  <c r="C15" i="7"/>
  <c r="L14" i="7"/>
  <c r="L13" i="7"/>
  <c r="L12" i="7"/>
  <c r="L11" i="7"/>
  <c r="L10" i="7"/>
  <c r="L9" i="7"/>
  <c r="L8" i="7"/>
  <c r="G8" i="7"/>
  <c r="G9" i="7" s="1"/>
  <c r="L7" i="7"/>
  <c r="G7" i="7"/>
  <c r="J7" i="7" s="1"/>
  <c r="N7" i="7" s="1"/>
  <c r="O7" i="7" s="1"/>
  <c r="F7" i="7"/>
  <c r="F8" i="7" s="1"/>
  <c r="F9" i="7" s="1"/>
  <c r="F10" i="7" s="1"/>
  <c r="F11" i="7" s="1"/>
  <c r="F12" i="7" s="1"/>
  <c r="F13" i="7" s="1"/>
  <c r="F14" i="7" s="1"/>
  <c r="F15" i="7" s="1"/>
  <c r="L6" i="7"/>
  <c r="J6" i="7"/>
  <c r="N6" i="7" s="1"/>
  <c r="H6" i="7"/>
  <c r="H7" i="7" s="1"/>
  <c r="H8" i="7" s="1"/>
  <c r="H9" i="7" s="1"/>
  <c r="H10" i="7" s="1"/>
  <c r="H11" i="7" s="1"/>
  <c r="H12" i="7" s="1"/>
  <c r="H13" i="7" s="1"/>
  <c r="H14" i="7" s="1"/>
  <c r="H15" i="7" s="1"/>
  <c r="G6" i="7"/>
  <c r="F6" i="7"/>
  <c r="L5" i="7"/>
  <c r="K5" i="7"/>
  <c r="N5" i="7" s="1"/>
  <c r="O5" i="7" s="1"/>
  <c r="J22" i="6"/>
  <c r="J23" i="6"/>
  <c r="J24" i="6"/>
  <c r="J25" i="6"/>
  <c r="J26" i="6"/>
  <c r="J27" i="6"/>
  <c r="J28" i="6"/>
  <c r="J29" i="6"/>
  <c r="J30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J21" i="6"/>
  <c r="I21" i="6"/>
  <c r="H21" i="6"/>
  <c r="G22" i="6"/>
  <c r="G23" i="6"/>
  <c r="G24" i="6" s="1"/>
  <c r="G25" i="6" s="1"/>
  <c r="G26" i="6" s="1"/>
  <c r="G27" i="6" s="1"/>
  <c r="G28" i="6" s="1"/>
  <c r="G29" i="6" s="1"/>
  <c r="G30" i="6" s="1"/>
  <c r="G21" i="6"/>
  <c r="G20" i="6"/>
  <c r="J32" i="6"/>
  <c r="C30" i="6"/>
  <c r="F21" i="6"/>
  <c r="F22" i="6" s="1"/>
  <c r="F23" i="6" s="1"/>
  <c r="F24" i="6" s="1"/>
  <c r="F25" i="6" s="1"/>
  <c r="F26" i="6" s="1"/>
  <c r="F27" i="6" s="1"/>
  <c r="F28" i="6" s="1"/>
  <c r="F29" i="6" s="1"/>
  <c r="F30" i="6" s="1"/>
  <c r="M15" i="6"/>
  <c r="L15" i="6"/>
  <c r="C15" i="6"/>
  <c r="L14" i="6"/>
  <c r="L13" i="6"/>
  <c r="L12" i="6"/>
  <c r="L11" i="6"/>
  <c r="L10" i="6"/>
  <c r="L9" i="6"/>
  <c r="L8" i="6"/>
  <c r="L7" i="6"/>
  <c r="G7" i="6"/>
  <c r="L6" i="6"/>
  <c r="H6" i="6"/>
  <c r="H7" i="6" s="1"/>
  <c r="H8" i="6" s="1"/>
  <c r="H9" i="6" s="1"/>
  <c r="H10" i="6" s="1"/>
  <c r="H11" i="6" s="1"/>
  <c r="H12" i="6" s="1"/>
  <c r="H13" i="6" s="1"/>
  <c r="H14" i="6" s="1"/>
  <c r="H15" i="6" s="1"/>
  <c r="G6" i="6"/>
  <c r="J6" i="6" s="1"/>
  <c r="N6" i="6" s="1"/>
  <c r="F6" i="6"/>
  <c r="F7" i="6" s="1"/>
  <c r="F8" i="6" s="1"/>
  <c r="F9" i="6" s="1"/>
  <c r="F10" i="6" s="1"/>
  <c r="F11" i="6" s="1"/>
  <c r="F12" i="6" s="1"/>
  <c r="F13" i="6" s="1"/>
  <c r="F14" i="6" s="1"/>
  <c r="F15" i="6" s="1"/>
  <c r="N5" i="6"/>
  <c r="L5" i="6"/>
  <c r="K5" i="6"/>
  <c r="J7" i="8" l="1"/>
  <c r="N7" i="8" s="1"/>
  <c r="O7" i="8" s="1"/>
  <c r="O6" i="8"/>
  <c r="G8" i="8"/>
  <c r="O6" i="7"/>
  <c r="J9" i="7"/>
  <c r="N9" i="7" s="1"/>
  <c r="O9" i="7" s="1"/>
  <c r="G10" i="7"/>
  <c r="J8" i="7"/>
  <c r="N8" i="7" s="1"/>
  <c r="O8" i="7" s="1"/>
  <c r="J7" i="6"/>
  <c r="N7" i="6" s="1"/>
  <c r="O7" i="6" s="1"/>
  <c r="O6" i="6"/>
  <c r="O5" i="6"/>
  <c r="G8" i="6"/>
  <c r="G9" i="8" l="1"/>
  <c r="J8" i="8"/>
  <c r="N8" i="8" s="1"/>
  <c r="G11" i="7"/>
  <c r="J10" i="7"/>
  <c r="N10" i="7" s="1"/>
  <c r="O10" i="7" s="1"/>
  <c r="G9" i="6"/>
  <c r="J8" i="6"/>
  <c r="N8" i="6" s="1"/>
  <c r="O8" i="6" s="1"/>
  <c r="O8" i="8" l="1"/>
  <c r="J9" i="8"/>
  <c r="N9" i="8" s="1"/>
  <c r="O9" i="8" s="1"/>
  <c r="G10" i="8"/>
  <c r="J11" i="7"/>
  <c r="N11" i="7" s="1"/>
  <c r="G12" i="7"/>
  <c r="G10" i="6"/>
  <c r="J9" i="6"/>
  <c r="N9" i="6" s="1"/>
  <c r="G11" i="8" l="1"/>
  <c r="J10" i="8"/>
  <c r="N10" i="8" s="1"/>
  <c r="O10" i="8" s="1"/>
  <c r="O11" i="7"/>
  <c r="J12" i="7"/>
  <c r="N12" i="7" s="1"/>
  <c r="O12" i="7" s="1"/>
  <c r="G13" i="7"/>
  <c r="O9" i="6"/>
  <c r="G11" i="6"/>
  <c r="J10" i="6"/>
  <c r="N10" i="6" s="1"/>
  <c r="O10" i="6" s="1"/>
  <c r="J11" i="8" l="1"/>
  <c r="N11" i="8" s="1"/>
  <c r="G12" i="8"/>
  <c r="J13" i="7"/>
  <c r="N13" i="7" s="1"/>
  <c r="O13" i="7" s="1"/>
  <c r="G14" i="7"/>
  <c r="G12" i="6"/>
  <c r="J11" i="6"/>
  <c r="N11" i="6" s="1"/>
  <c r="O11" i="6" s="1"/>
  <c r="J12" i="8" l="1"/>
  <c r="N12" i="8" s="1"/>
  <c r="O12" i="8" s="1"/>
  <c r="G13" i="8"/>
  <c r="O11" i="8"/>
  <c r="J14" i="7"/>
  <c r="N14" i="7" s="1"/>
  <c r="O14" i="7" s="1"/>
  <c r="G15" i="7"/>
  <c r="J15" i="7" s="1"/>
  <c r="N15" i="7" s="1"/>
  <c r="J12" i="6"/>
  <c r="N12" i="6" s="1"/>
  <c r="G13" i="6"/>
  <c r="J13" i="8" l="1"/>
  <c r="N13" i="8" s="1"/>
  <c r="G14" i="8"/>
  <c r="O15" i="7"/>
  <c r="C25" i="7"/>
  <c r="C22" i="7"/>
  <c r="J13" i="6"/>
  <c r="N13" i="6" s="1"/>
  <c r="O13" i="6" s="1"/>
  <c r="G14" i="6"/>
  <c r="O12" i="6"/>
  <c r="J14" i="8" l="1"/>
  <c r="N14" i="8" s="1"/>
  <c r="O14" i="8" s="1"/>
  <c r="G15" i="8"/>
  <c r="J15" i="8" s="1"/>
  <c r="N15" i="8" s="1"/>
  <c r="C25" i="8" s="1"/>
  <c r="O13" i="8"/>
  <c r="J14" i="6"/>
  <c r="N14" i="6" s="1"/>
  <c r="O14" i="6" s="1"/>
  <c r="G15" i="6"/>
  <c r="J15" i="6" s="1"/>
  <c r="N15" i="6" s="1"/>
  <c r="O15" i="8" l="1"/>
  <c r="C22" i="8"/>
  <c r="O15" i="6"/>
  <c r="C22" i="6"/>
  <c r="C25" i="6"/>
</calcChain>
</file>

<file path=xl/sharedStrings.xml><?xml version="1.0" encoding="utf-8"?>
<sst xmlns="http://schemas.openxmlformats.org/spreadsheetml/2006/main" count="147" uniqueCount="46">
  <si>
    <t>jaar</t>
  </si>
  <si>
    <t>exploitatiekosten</t>
  </si>
  <si>
    <t>exploitatie</t>
  </si>
  <si>
    <t>kosten</t>
  </si>
  <si>
    <t>groot</t>
  </si>
  <si>
    <t>onderhoud</t>
  </si>
  <si>
    <t>restwaarde</t>
  </si>
  <si>
    <t>investering</t>
  </si>
  <si>
    <t>saldo</t>
  </si>
  <si>
    <t>netto</t>
  </si>
  <si>
    <t>opbrengsten</t>
  </si>
  <si>
    <t>inflatie</t>
  </si>
  <si>
    <t>indexering</t>
  </si>
  <si>
    <t>WACC/</t>
  </si>
  <si>
    <t>BAR</t>
  </si>
  <si>
    <t>IRR</t>
  </si>
  <si>
    <t>totale investering</t>
  </si>
  <si>
    <t>(huur)</t>
  </si>
  <si>
    <t>(huur) opbrengsten</t>
  </si>
  <si>
    <t>Kasstroomschema</t>
  </si>
  <si>
    <t>huidige</t>
  </si>
  <si>
    <t>waarde</t>
  </si>
  <si>
    <t>Gegevens / Berekeningen</t>
  </si>
  <si>
    <t>Terugverdientijd</t>
  </si>
  <si>
    <t>Netto contante waarde</t>
  </si>
  <si>
    <t>Discontovoet</t>
  </si>
  <si>
    <t>financiering</t>
  </si>
  <si>
    <t>rentepercentage</t>
  </si>
  <si>
    <t>Som huidige waarde</t>
  </si>
  <si>
    <t>restwaarde na 10 jaar</t>
  </si>
  <si>
    <t>10 jaar</t>
  </si>
  <si>
    <t>lening</t>
  </si>
  <si>
    <t>rendement</t>
  </si>
  <si>
    <t>direct</t>
  </si>
  <si>
    <t>taxatie</t>
  </si>
  <si>
    <t>indirect</t>
  </si>
  <si>
    <t>totaal</t>
  </si>
  <si>
    <t>gemiddeld totaal rendement</t>
  </si>
  <si>
    <t>verloop</t>
  </si>
  <si>
    <t>* Bepaal totale investering</t>
  </si>
  <si>
    <t>* Bepaal taxatiewaarde per jaar</t>
  </si>
  <si>
    <t>* Bepaal direct rendement per jaar</t>
  </si>
  <si>
    <t>* Laat BAR oplopen met 0,1% per jaar</t>
  </si>
  <si>
    <t>* Bepaal totaal rendement per jaar</t>
  </si>
  <si>
    <t>* Bereken gemiddeld rendement</t>
  </si>
  <si>
    <t>* Bepaal indirect rendement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</si>
</sst>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166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166" fontId="0" fillId="2" borderId="0" xfId="1" applyNumberFormat="1" applyFont="1" applyFill="1" applyBorder="1"/>
    <xf numFmtId="164" fontId="0" fillId="2" borderId="0" xfId="2" applyNumberFormat="1" applyFont="1" applyFill="1" applyBorder="1"/>
    <xf numFmtId="6" fontId="0" fillId="2" borderId="0" xfId="0" applyNumberFormat="1" applyFill="1" applyBorder="1"/>
    <xf numFmtId="0" fontId="0" fillId="2" borderId="10" xfId="0" applyFill="1" applyBorder="1"/>
    <xf numFmtId="0" fontId="0" fillId="2" borderId="4" xfId="0" applyFill="1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166" fontId="0" fillId="2" borderId="10" xfId="1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164" fontId="0" fillId="3" borderId="0" xfId="2" applyNumberFormat="1" applyFont="1" applyFill="1" applyBorder="1"/>
    <xf numFmtId="6" fontId="0" fillId="3" borderId="0" xfId="0" applyNumberFormat="1" applyFill="1" applyBorder="1"/>
    <xf numFmtId="165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164" fontId="0" fillId="2" borderId="0" xfId="2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9" xfId="0" applyFill="1" applyBorder="1"/>
    <xf numFmtId="164" fontId="0" fillId="2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sqref="A1:D1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39" t="s">
        <v>22</v>
      </c>
      <c r="B1" s="40"/>
      <c r="C1" s="40"/>
      <c r="D1" s="41"/>
      <c r="E1" s="39" t="s">
        <v>19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x14ac:dyDescent="0.25">
      <c r="A2" s="22"/>
      <c r="B2" s="23"/>
      <c r="C2" s="23"/>
      <c r="D2" s="24"/>
      <c r="E2" s="34"/>
      <c r="F2" s="9"/>
      <c r="G2" s="16"/>
      <c r="H2" s="17"/>
      <c r="I2" s="17"/>
      <c r="J2" s="17"/>
      <c r="K2" s="17"/>
      <c r="L2" s="17"/>
      <c r="M2" s="17"/>
      <c r="N2" s="9"/>
      <c r="O2" s="9"/>
      <c r="P2" s="10"/>
    </row>
    <row r="3" spans="1:16" x14ac:dyDescent="0.25">
      <c r="A3" s="22"/>
      <c r="B3" s="23" t="s">
        <v>16</v>
      </c>
      <c r="C3" s="11">
        <v>7500000</v>
      </c>
      <c r="D3" s="24"/>
      <c r="E3" s="34"/>
      <c r="F3" s="4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0"/>
    </row>
    <row r="4" spans="1:16" x14ac:dyDescent="0.25">
      <c r="A4" s="22"/>
      <c r="B4" s="23" t="s">
        <v>29</v>
      </c>
      <c r="C4" s="11">
        <v>6500000</v>
      </c>
      <c r="D4" s="24"/>
      <c r="E4" s="34"/>
      <c r="F4" s="5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0"/>
    </row>
    <row r="5" spans="1:16" x14ac:dyDescent="0.25">
      <c r="A5" s="22"/>
      <c r="B5" s="23"/>
      <c r="C5" s="23"/>
      <c r="D5" s="24"/>
      <c r="E5" s="34"/>
      <c r="F5" s="17">
        <v>0</v>
      </c>
      <c r="G5" s="16"/>
      <c r="H5" s="17"/>
      <c r="I5" s="17"/>
      <c r="J5" s="17"/>
      <c r="K5" s="18">
        <f>-C3</f>
        <v>-7500000</v>
      </c>
      <c r="L5" s="18">
        <f>+C6</f>
        <v>0</v>
      </c>
      <c r="M5" s="17"/>
      <c r="N5" s="19">
        <f>SUM(J5:M5)</f>
        <v>-7500000</v>
      </c>
      <c r="O5" s="13">
        <f t="shared" ref="O5:O15" si="0">+N5/(1+$C$28)^F5</f>
        <v>-7500000</v>
      </c>
      <c r="P5" s="10"/>
    </row>
    <row r="6" spans="1:16" x14ac:dyDescent="0.25">
      <c r="A6" s="22"/>
      <c r="B6" s="23" t="s">
        <v>31</v>
      </c>
      <c r="C6" s="11">
        <v>0</v>
      </c>
      <c r="D6" s="24"/>
      <c r="E6" s="34"/>
      <c r="F6" s="9">
        <f>+F5+1</f>
        <v>1</v>
      </c>
      <c r="G6" s="16">
        <f>+C9</f>
        <v>750000</v>
      </c>
      <c r="H6" s="16">
        <f>-C12</f>
        <v>-150000</v>
      </c>
      <c r="I6" s="16"/>
      <c r="J6" s="16">
        <f>SUM(G6:I6)</f>
        <v>600000</v>
      </c>
      <c r="K6" s="16"/>
      <c r="L6" s="16">
        <f>-$C$6*$C$7</f>
        <v>0</v>
      </c>
      <c r="M6" s="16"/>
      <c r="N6" s="19">
        <f>SUM(J6:M6)</f>
        <v>600000</v>
      </c>
      <c r="O6" s="13">
        <f t="shared" si="0"/>
        <v>571428.57142857136</v>
      </c>
      <c r="P6" s="10"/>
    </row>
    <row r="7" spans="1:16" x14ac:dyDescent="0.25">
      <c r="A7" s="22"/>
      <c r="B7" s="23" t="s">
        <v>27</v>
      </c>
      <c r="C7" s="12">
        <v>0</v>
      </c>
      <c r="D7" s="24"/>
      <c r="E7" s="34"/>
      <c r="F7" s="9">
        <f>+F6+1</f>
        <v>2</v>
      </c>
      <c r="G7" s="16">
        <f t="shared" ref="G7:G15" si="1">+G6*(1+$C$10)</f>
        <v>765000</v>
      </c>
      <c r="H7" s="16">
        <f t="shared" ref="H7:H15" si="2">+H6*(1+$C$13)</f>
        <v>-154500</v>
      </c>
      <c r="I7" s="16"/>
      <c r="J7" s="16">
        <f t="shared" ref="J7:J15" si="3">SUM(G7:I7)</f>
        <v>610500</v>
      </c>
      <c r="K7" s="16"/>
      <c r="L7" s="16">
        <f t="shared" ref="L7:L14" si="4">-$C$6*$C$7</f>
        <v>0</v>
      </c>
      <c r="M7" s="16"/>
      <c r="N7" s="19">
        <f t="shared" ref="N7:N15" si="5">SUM(J7:M7)</f>
        <v>610500</v>
      </c>
      <c r="O7" s="13">
        <f t="shared" si="0"/>
        <v>553741.49659863941</v>
      </c>
      <c r="P7" s="10"/>
    </row>
    <row r="8" spans="1:16" x14ac:dyDescent="0.25">
      <c r="A8" s="22"/>
      <c r="B8" s="23"/>
      <c r="C8" s="23"/>
      <c r="D8" s="24"/>
      <c r="E8" s="34"/>
      <c r="F8" s="9">
        <f t="shared" ref="F8:F15" si="6">+F7+1</f>
        <v>3</v>
      </c>
      <c r="G8" s="16">
        <f t="shared" si="1"/>
        <v>780300</v>
      </c>
      <c r="H8" s="16">
        <f t="shared" si="2"/>
        <v>-159135</v>
      </c>
      <c r="I8" s="16">
        <v>-250000</v>
      </c>
      <c r="J8" s="16">
        <f t="shared" si="3"/>
        <v>371165</v>
      </c>
      <c r="K8" s="16"/>
      <c r="L8" s="16">
        <f t="shared" si="4"/>
        <v>0</v>
      </c>
      <c r="M8" s="16"/>
      <c r="N8" s="19">
        <f t="shared" si="5"/>
        <v>371165</v>
      </c>
      <c r="O8" s="13">
        <f t="shared" si="0"/>
        <v>320626.28225893527</v>
      </c>
      <c r="P8" s="10"/>
    </row>
    <row r="9" spans="1:16" x14ac:dyDescent="0.25">
      <c r="A9" s="22"/>
      <c r="B9" s="23" t="s">
        <v>18</v>
      </c>
      <c r="C9" s="11">
        <v>750000</v>
      </c>
      <c r="D9" s="24"/>
      <c r="E9" s="34"/>
      <c r="F9" s="9">
        <f t="shared" si="6"/>
        <v>4</v>
      </c>
      <c r="G9" s="16">
        <f t="shared" si="1"/>
        <v>795906</v>
      </c>
      <c r="H9" s="16">
        <f t="shared" si="2"/>
        <v>-163909.05000000002</v>
      </c>
      <c r="I9" s="16"/>
      <c r="J9" s="16">
        <f t="shared" si="3"/>
        <v>631996.94999999995</v>
      </c>
      <c r="K9" s="16"/>
      <c r="L9" s="16">
        <f t="shared" si="4"/>
        <v>0</v>
      </c>
      <c r="M9" s="16"/>
      <c r="N9" s="19">
        <f t="shared" si="5"/>
        <v>631996.94999999995</v>
      </c>
      <c r="O9" s="13">
        <f t="shared" si="0"/>
        <v>519945.45482592128</v>
      </c>
      <c r="P9" s="10"/>
    </row>
    <row r="10" spans="1:16" x14ac:dyDescent="0.25">
      <c r="A10" s="22"/>
      <c r="B10" s="23" t="s">
        <v>12</v>
      </c>
      <c r="C10" s="12">
        <v>0.02</v>
      </c>
      <c r="D10" s="24"/>
      <c r="E10" s="34"/>
      <c r="F10" s="9">
        <f t="shared" si="6"/>
        <v>5</v>
      </c>
      <c r="G10" s="16">
        <f t="shared" si="1"/>
        <v>811824.12</v>
      </c>
      <c r="H10" s="16">
        <f t="shared" si="2"/>
        <v>-168826.32150000002</v>
      </c>
      <c r="I10" s="16">
        <v>-1000000</v>
      </c>
      <c r="J10" s="16">
        <f t="shared" si="3"/>
        <v>-357002.20149999997</v>
      </c>
      <c r="K10" s="16"/>
      <c r="L10" s="16">
        <f t="shared" si="4"/>
        <v>0</v>
      </c>
      <c r="M10" s="16"/>
      <c r="N10" s="19">
        <f t="shared" si="5"/>
        <v>-357002.20149999997</v>
      </c>
      <c r="O10" s="13">
        <f t="shared" si="0"/>
        <v>-279720.5663620953</v>
      </c>
      <c r="P10" s="10"/>
    </row>
    <row r="11" spans="1:16" x14ac:dyDescent="0.25">
      <c r="A11" s="22"/>
      <c r="B11" s="23"/>
      <c r="C11" s="23"/>
      <c r="D11" s="24"/>
      <c r="E11" s="34"/>
      <c r="F11" s="9">
        <f t="shared" si="6"/>
        <v>6</v>
      </c>
      <c r="G11" s="16">
        <f t="shared" si="1"/>
        <v>828060.60239999997</v>
      </c>
      <c r="H11" s="16">
        <f t="shared" si="2"/>
        <v>-173891.11114500003</v>
      </c>
      <c r="I11" s="16"/>
      <c r="J11" s="16">
        <f t="shared" si="3"/>
        <v>654169.491255</v>
      </c>
      <c r="K11" s="16"/>
      <c r="L11" s="16">
        <f t="shared" si="4"/>
        <v>0</v>
      </c>
      <c r="M11" s="16"/>
      <c r="N11" s="19">
        <f t="shared" si="5"/>
        <v>654169.491255</v>
      </c>
      <c r="O11" s="13">
        <f t="shared" si="0"/>
        <v>488151.34638443077</v>
      </c>
      <c r="P11" s="10"/>
    </row>
    <row r="12" spans="1:16" x14ac:dyDescent="0.25">
      <c r="A12" s="22"/>
      <c r="B12" s="23" t="s">
        <v>1</v>
      </c>
      <c r="C12" s="11">
        <v>150000</v>
      </c>
      <c r="D12" s="24"/>
      <c r="E12" s="34"/>
      <c r="F12" s="9">
        <f t="shared" si="6"/>
        <v>7</v>
      </c>
      <c r="G12" s="16">
        <f t="shared" si="1"/>
        <v>844621.81444799993</v>
      </c>
      <c r="H12" s="16">
        <f t="shared" si="2"/>
        <v>-179107.84447935002</v>
      </c>
      <c r="I12" s="16"/>
      <c r="J12" s="16">
        <f t="shared" si="3"/>
        <v>665513.96996864991</v>
      </c>
      <c r="K12" s="16"/>
      <c r="L12" s="16">
        <f t="shared" si="4"/>
        <v>0</v>
      </c>
      <c r="M12" s="16"/>
      <c r="N12" s="19">
        <f t="shared" si="5"/>
        <v>665513.96996864991</v>
      </c>
      <c r="O12" s="13">
        <f t="shared" si="0"/>
        <v>472968.35339749779</v>
      </c>
      <c r="P12" s="10"/>
    </row>
    <row r="13" spans="1:16" x14ac:dyDescent="0.25">
      <c r="A13" s="22"/>
      <c r="B13" s="23" t="s">
        <v>11</v>
      </c>
      <c r="C13" s="12">
        <v>0.03</v>
      </c>
      <c r="D13" s="24"/>
      <c r="E13" s="34"/>
      <c r="F13" s="9">
        <f t="shared" si="6"/>
        <v>8</v>
      </c>
      <c r="G13" s="16">
        <f t="shared" si="1"/>
        <v>861514.25073695998</v>
      </c>
      <c r="H13" s="16">
        <f t="shared" si="2"/>
        <v>-184481.07981373052</v>
      </c>
      <c r="I13" s="16">
        <v>-500000</v>
      </c>
      <c r="J13" s="16">
        <f t="shared" si="3"/>
        <v>177033.17092322942</v>
      </c>
      <c r="K13" s="16"/>
      <c r="L13" s="16">
        <f t="shared" si="4"/>
        <v>0</v>
      </c>
      <c r="M13" s="16"/>
      <c r="N13" s="19">
        <f t="shared" si="5"/>
        <v>177033.17092322942</v>
      </c>
      <c r="O13" s="13">
        <f t="shared" si="0"/>
        <v>119823.01846559414</v>
      </c>
      <c r="P13" s="10"/>
    </row>
    <row r="14" spans="1:16" x14ac:dyDescent="0.25">
      <c r="A14" s="22"/>
      <c r="B14" s="23"/>
      <c r="C14" s="23"/>
      <c r="D14" s="24"/>
      <c r="E14" s="34"/>
      <c r="F14" s="9">
        <f t="shared" si="6"/>
        <v>9</v>
      </c>
      <c r="G14" s="16">
        <f t="shared" si="1"/>
        <v>878744.53575169924</v>
      </c>
      <c r="H14" s="16">
        <f t="shared" si="2"/>
        <v>-190015.51220814243</v>
      </c>
      <c r="I14" s="16"/>
      <c r="J14" s="16">
        <f t="shared" si="3"/>
        <v>688729.0235435568</v>
      </c>
      <c r="K14" s="16"/>
      <c r="L14" s="16">
        <f t="shared" si="4"/>
        <v>0</v>
      </c>
      <c r="M14" s="16"/>
      <c r="N14" s="19">
        <f t="shared" si="5"/>
        <v>688729.0235435568</v>
      </c>
      <c r="O14" s="13">
        <f t="shared" si="0"/>
        <v>443960.86943415395</v>
      </c>
      <c r="P14" s="10"/>
    </row>
    <row r="15" spans="1:16" x14ac:dyDescent="0.25">
      <c r="A15" s="22"/>
      <c r="B15" s="23" t="s">
        <v>23</v>
      </c>
      <c r="C15" s="30">
        <f>+C3/(C9-C12)</f>
        <v>12.5</v>
      </c>
      <c r="D15" s="24"/>
      <c r="E15" s="34"/>
      <c r="F15" s="9">
        <f t="shared" si="6"/>
        <v>10</v>
      </c>
      <c r="G15" s="16">
        <f t="shared" si="1"/>
        <v>896319.42646673322</v>
      </c>
      <c r="H15" s="16">
        <f t="shared" si="2"/>
        <v>-195715.97757438672</v>
      </c>
      <c r="I15" s="16"/>
      <c r="J15" s="16">
        <f t="shared" si="3"/>
        <v>700603.44889234647</v>
      </c>
      <c r="K15" s="16"/>
      <c r="L15" s="16">
        <f>-$C$6*$C$7-C6</f>
        <v>0</v>
      </c>
      <c r="M15" s="16">
        <f>+C4</f>
        <v>6500000</v>
      </c>
      <c r="N15" s="19">
        <f t="shared" si="5"/>
        <v>7200603.4488923466</v>
      </c>
      <c r="O15" s="13">
        <f t="shared" si="0"/>
        <v>4420545.8907663133</v>
      </c>
      <c r="P15" s="10"/>
    </row>
    <row r="16" spans="1:16" x14ac:dyDescent="0.25">
      <c r="A16" s="22"/>
      <c r="B16" s="23"/>
      <c r="C16" s="31" t="s">
        <v>0</v>
      </c>
      <c r="D16" s="24"/>
      <c r="E16" s="34"/>
      <c r="F16" s="9"/>
      <c r="G16" s="16"/>
      <c r="H16" s="16"/>
      <c r="I16" s="16"/>
      <c r="J16" s="16"/>
      <c r="K16" s="16"/>
      <c r="L16" s="16"/>
      <c r="M16" s="16"/>
      <c r="N16" s="19"/>
      <c r="O16" s="13"/>
      <c r="P16" s="10"/>
    </row>
    <row r="17" spans="1:16" x14ac:dyDescent="0.25">
      <c r="A17" s="22"/>
      <c r="B17" s="23"/>
      <c r="C17" s="23"/>
      <c r="D17" s="24"/>
      <c r="E17" s="34"/>
      <c r="F17" s="9"/>
      <c r="G17" s="16"/>
      <c r="H17" s="16"/>
      <c r="I17" s="16"/>
      <c r="J17" s="16"/>
      <c r="K17" s="16"/>
      <c r="L17" s="16"/>
      <c r="M17" s="16"/>
      <c r="N17" s="19"/>
      <c r="O17" s="13"/>
      <c r="P17" s="10"/>
    </row>
    <row r="18" spans="1:16" x14ac:dyDescent="0.25">
      <c r="A18" s="22"/>
      <c r="B18" s="23" t="s">
        <v>28</v>
      </c>
      <c r="C18" s="23"/>
      <c r="D18" s="24"/>
      <c r="E18" s="34"/>
      <c r="F18" s="4"/>
      <c r="G18" s="8" t="s">
        <v>21</v>
      </c>
      <c r="H18" s="8" t="s">
        <v>33</v>
      </c>
      <c r="I18" s="8" t="s">
        <v>35</v>
      </c>
      <c r="J18" s="8" t="s">
        <v>36</v>
      </c>
      <c r="O18" s="17"/>
      <c r="P18" s="10"/>
    </row>
    <row r="19" spans="1:16" x14ac:dyDescent="0.25">
      <c r="A19" s="22"/>
      <c r="B19" s="23" t="s">
        <v>30</v>
      </c>
      <c r="C19" s="29">
        <f>SUM(O6:O15)</f>
        <v>7631470.7171979621</v>
      </c>
      <c r="D19" s="24"/>
      <c r="E19" s="34"/>
      <c r="F19" s="5" t="s">
        <v>0</v>
      </c>
      <c r="G19" s="5" t="s">
        <v>38</v>
      </c>
      <c r="H19" s="5" t="s">
        <v>32</v>
      </c>
      <c r="I19" s="5" t="s">
        <v>32</v>
      </c>
      <c r="J19" s="5" t="s">
        <v>32</v>
      </c>
      <c r="O19" s="17"/>
      <c r="P19" s="10"/>
    </row>
    <row r="20" spans="1:16" x14ac:dyDescent="0.25">
      <c r="A20" s="22"/>
      <c r="B20" s="23"/>
      <c r="C20" s="23"/>
      <c r="D20" s="24"/>
      <c r="E20" s="34"/>
      <c r="F20" s="17">
        <v>0</v>
      </c>
      <c r="G20" s="16">
        <f>+C3</f>
        <v>7500000</v>
      </c>
      <c r="H20" s="16"/>
      <c r="I20" s="16"/>
      <c r="J20" s="19"/>
      <c r="O20" s="13"/>
      <c r="P20" s="10"/>
    </row>
    <row r="21" spans="1:16" x14ac:dyDescent="0.25">
      <c r="A21" s="22"/>
      <c r="B21" s="23" t="s">
        <v>24</v>
      </c>
      <c r="C21" s="23"/>
      <c r="D21" s="24"/>
      <c r="E21" s="34"/>
      <c r="F21" s="9">
        <f>+F20+1</f>
        <v>1</v>
      </c>
      <c r="G21" s="16">
        <f>+G20-100000</f>
        <v>7400000</v>
      </c>
      <c r="H21" s="33">
        <f>+J6/G20</f>
        <v>0.08</v>
      </c>
      <c r="I21" s="33">
        <f>+(G21-G20)/G20</f>
        <v>-1.3333333333333334E-2</v>
      </c>
      <c r="J21" s="12">
        <f>+H21+I21</f>
        <v>6.6666666666666666E-2</v>
      </c>
      <c r="O21" s="12"/>
      <c r="P21" s="10"/>
    </row>
    <row r="22" spans="1:16" x14ac:dyDescent="0.25">
      <c r="A22" s="22"/>
      <c r="B22" s="23" t="s">
        <v>30</v>
      </c>
      <c r="C22" s="29">
        <f>NPV(C28,N6:N15)+N5</f>
        <v>131470.71719796024</v>
      </c>
      <c r="D22" s="24"/>
      <c r="E22" s="34"/>
      <c r="F22" s="9">
        <f>+F21+1</f>
        <v>2</v>
      </c>
      <c r="G22" s="16">
        <f t="shared" ref="G22:G30" si="7">+G21-100000</f>
        <v>7300000</v>
      </c>
      <c r="H22" s="33">
        <f t="shared" ref="H22:H30" si="8">+J7/G21</f>
        <v>8.2500000000000004E-2</v>
      </c>
      <c r="I22" s="33">
        <f t="shared" ref="I22:I30" si="9">+(G22-G21)/G21</f>
        <v>-1.3513513513513514E-2</v>
      </c>
      <c r="J22" s="12">
        <f t="shared" ref="J22:J30" si="10">+H22+I22</f>
        <v>6.898648648648649E-2</v>
      </c>
      <c r="O22" s="12"/>
      <c r="P22" s="10"/>
    </row>
    <row r="23" spans="1:16" x14ac:dyDescent="0.25">
      <c r="A23" s="22"/>
      <c r="B23" s="23"/>
      <c r="C23" s="23"/>
      <c r="D23" s="24"/>
      <c r="E23" s="34"/>
      <c r="F23" s="9">
        <f t="shared" ref="F23:F30" si="11">+F22+1</f>
        <v>3</v>
      </c>
      <c r="G23" s="16">
        <f t="shared" si="7"/>
        <v>7200000</v>
      </c>
      <c r="H23" s="33">
        <f t="shared" si="8"/>
        <v>5.0844520547945207E-2</v>
      </c>
      <c r="I23" s="33">
        <f t="shared" si="9"/>
        <v>-1.3698630136986301E-2</v>
      </c>
      <c r="J23" s="12">
        <f t="shared" si="10"/>
        <v>3.7145890410958907E-2</v>
      </c>
      <c r="O23" s="12"/>
      <c r="P23" s="10"/>
    </row>
    <row r="24" spans="1:16" x14ac:dyDescent="0.25">
      <c r="A24" s="22"/>
      <c r="B24" s="23" t="s">
        <v>15</v>
      </c>
      <c r="C24" s="23"/>
      <c r="D24" s="24"/>
      <c r="E24" s="34"/>
      <c r="F24" s="9">
        <f t="shared" si="11"/>
        <v>4</v>
      </c>
      <c r="G24" s="16">
        <f t="shared" si="7"/>
        <v>7100000</v>
      </c>
      <c r="H24" s="33">
        <f t="shared" si="8"/>
        <v>8.7777354166666655E-2</v>
      </c>
      <c r="I24" s="33">
        <f t="shared" si="9"/>
        <v>-1.3888888888888888E-2</v>
      </c>
      <c r="J24" s="12">
        <f t="shared" si="10"/>
        <v>7.388846527777776E-2</v>
      </c>
      <c r="O24" s="12"/>
      <c r="P24" s="10"/>
    </row>
    <row r="25" spans="1:16" x14ac:dyDescent="0.25">
      <c r="A25" s="22"/>
      <c r="B25" s="23" t="s">
        <v>30</v>
      </c>
      <c r="C25" s="32">
        <f>IRR(N5:N15,C28)</f>
        <v>5.2377751013845231E-2</v>
      </c>
      <c r="D25" s="24"/>
      <c r="E25" s="34"/>
      <c r="F25" s="9">
        <f t="shared" si="11"/>
        <v>5</v>
      </c>
      <c r="G25" s="16">
        <f t="shared" si="7"/>
        <v>7000000</v>
      </c>
      <c r="H25" s="33">
        <f t="shared" si="8"/>
        <v>-5.0282000211267601E-2</v>
      </c>
      <c r="I25" s="33">
        <f t="shared" si="9"/>
        <v>-1.4084507042253521E-2</v>
      </c>
      <c r="J25" s="12">
        <f t="shared" si="10"/>
        <v>-6.4366507253521124E-2</v>
      </c>
      <c r="O25" s="12"/>
      <c r="P25" s="10"/>
    </row>
    <row r="26" spans="1:16" x14ac:dyDescent="0.25">
      <c r="A26" s="22"/>
      <c r="B26" s="23"/>
      <c r="C26" s="23"/>
      <c r="D26" s="24"/>
      <c r="E26" s="34"/>
      <c r="F26" s="9">
        <f t="shared" si="11"/>
        <v>6</v>
      </c>
      <c r="G26" s="16">
        <f t="shared" si="7"/>
        <v>6900000</v>
      </c>
      <c r="H26" s="33">
        <f t="shared" si="8"/>
        <v>9.3452784464999994E-2</v>
      </c>
      <c r="I26" s="33">
        <f t="shared" si="9"/>
        <v>-1.4285714285714285E-2</v>
      </c>
      <c r="J26" s="12">
        <f t="shared" si="10"/>
        <v>7.9167070179285703E-2</v>
      </c>
      <c r="O26" s="12"/>
      <c r="P26" s="10"/>
    </row>
    <row r="27" spans="1:16" x14ac:dyDescent="0.25">
      <c r="A27" s="22"/>
      <c r="B27" s="23" t="s">
        <v>13</v>
      </c>
      <c r="C27" s="23"/>
      <c r="D27" s="24"/>
      <c r="E27" s="34"/>
      <c r="F27" s="9">
        <f t="shared" si="11"/>
        <v>7</v>
      </c>
      <c r="G27" s="16">
        <f t="shared" si="7"/>
        <v>6800000</v>
      </c>
      <c r="H27" s="33">
        <f t="shared" si="8"/>
        <v>9.6451299995456513E-2</v>
      </c>
      <c r="I27" s="33">
        <f t="shared" si="9"/>
        <v>-1.4492753623188406E-2</v>
      </c>
      <c r="J27" s="12">
        <f t="shared" si="10"/>
        <v>8.1958546372268112E-2</v>
      </c>
      <c r="O27" s="12"/>
      <c r="P27" s="10"/>
    </row>
    <row r="28" spans="1:16" x14ac:dyDescent="0.25">
      <c r="A28" s="22"/>
      <c r="B28" s="23" t="s">
        <v>25</v>
      </c>
      <c r="C28" s="12">
        <v>0.05</v>
      </c>
      <c r="D28" s="24"/>
      <c r="E28" s="34"/>
      <c r="F28" s="9">
        <f t="shared" si="11"/>
        <v>8</v>
      </c>
      <c r="G28" s="16">
        <f t="shared" si="7"/>
        <v>6700000</v>
      </c>
      <c r="H28" s="33">
        <f t="shared" si="8"/>
        <v>2.6034289841651386E-2</v>
      </c>
      <c r="I28" s="33">
        <f t="shared" si="9"/>
        <v>-1.4705882352941176E-2</v>
      </c>
      <c r="J28" s="12">
        <f t="shared" si="10"/>
        <v>1.132840748871021E-2</v>
      </c>
      <c r="O28" s="12"/>
      <c r="P28" s="10"/>
    </row>
    <row r="29" spans="1:16" x14ac:dyDescent="0.25">
      <c r="A29" s="22"/>
      <c r="B29" s="23"/>
      <c r="C29" s="23"/>
      <c r="D29" s="24"/>
      <c r="E29" s="34"/>
      <c r="F29" s="9">
        <f t="shared" si="11"/>
        <v>9</v>
      </c>
      <c r="G29" s="16">
        <f t="shared" si="7"/>
        <v>6600000</v>
      </c>
      <c r="H29" s="33">
        <f t="shared" si="8"/>
        <v>0.10279537664829207</v>
      </c>
      <c r="I29" s="33">
        <f t="shared" si="9"/>
        <v>-1.4925373134328358E-2</v>
      </c>
      <c r="J29" s="12">
        <f t="shared" si="10"/>
        <v>8.7870003513963707E-2</v>
      </c>
      <c r="O29" s="12"/>
      <c r="P29" s="10"/>
    </row>
    <row r="30" spans="1:16" x14ac:dyDescent="0.25">
      <c r="A30" s="22"/>
      <c r="B30" s="23" t="s">
        <v>14</v>
      </c>
      <c r="C30" s="28">
        <f>+C9/C3</f>
        <v>0.1</v>
      </c>
      <c r="D30" s="24"/>
      <c r="E30" s="34"/>
      <c r="F30" s="9">
        <f t="shared" si="11"/>
        <v>10</v>
      </c>
      <c r="G30" s="16">
        <f t="shared" si="7"/>
        <v>6500000</v>
      </c>
      <c r="H30" s="33">
        <f t="shared" si="8"/>
        <v>0.10615203771096159</v>
      </c>
      <c r="I30" s="33">
        <f t="shared" si="9"/>
        <v>-1.5151515151515152E-2</v>
      </c>
      <c r="J30" s="12">
        <f t="shared" si="10"/>
        <v>9.1000522559446434E-2</v>
      </c>
      <c r="O30" s="12"/>
      <c r="P30" s="10"/>
    </row>
    <row r="31" spans="1:16" x14ac:dyDescent="0.25">
      <c r="A31" s="22"/>
      <c r="B31" s="23"/>
      <c r="C31" s="23"/>
      <c r="D31" s="24"/>
      <c r="E31" s="34"/>
      <c r="F31" s="9"/>
      <c r="G31" s="16"/>
      <c r="H31" s="16"/>
      <c r="I31" s="16"/>
      <c r="J31" s="19"/>
      <c r="O31" s="13"/>
      <c r="P31" s="10"/>
    </row>
    <row r="32" spans="1:16" x14ac:dyDescent="0.25">
      <c r="A32" s="22"/>
      <c r="B32" s="23"/>
      <c r="C32" s="23"/>
      <c r="D32" s="24"/>
      <c r="E32" s="34"/>
      <c r="F32" s="9"/>
      <c r="G32" s="17"/>
      <c r="H32" s="17"/>
      <c r="I32" s="17" t="s">
        <v>37</v>
      </c>
      <c r="J32" s="36">
        <f>SUM(J21:J30)/10</f>
        <v>5.3364555170204296E-2</v>
      </c>
      <c r="O32" s="9"/>
      <c r="P32" s="10"/>
    </row>
    <row r="33" spans="1:16" x14ac:dyDescent="0.25">
      <c r="A33" s="25"/>
      <c r="B33" s="26"/>
      <c r="C33" s="26"/>
      <c r="D33" s="27"/>
      <c r="E33" s="35"/>
      <c r="F33" s="14"/>
      <c r="G33" s="20"/>
      <c r="H33" s="21"/>
      <c r="I33" s="21"/>
      <c r="J33" s="21"/>
      <c r="K33" s="21"/>
      <c r="L33" s="21"/>
      <c r="M33" s="21"/>
      <c r="N33" s="14"/>
      <c r="O33" s="14"/>
      <c r="P33" s="15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J32" sqref="J32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39" t="s">
        <v>22</v>
      </c>
      <c r="B1" s="40"/>
      <c r="C1" s="40"/>
      <c r="D1" s="41"/>
      <c r="E1" s="39" t="s">
        <v>19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x14ac:dyDescent="0.25">
      <c r="A2" s="22"/>
      <c r="B2" s="23"/>
      <c r="C2" s="23"/>
      <c r="D2" s="24"/>
      <c r="E2" s="34"/>
      <c r="F2" s="9"/>
      <c r="G2" s="16"/>
      <c r="H2" s="17"/>
      <c r="I2" s="17"/>
      <c r="J2" s="17"/>
      <c r="K2" s="17"/>
      <c r="L2" s="17"/>
      <c r="M2" s="17"/>
      <c r="N2" s="9"/>
      <c r="O2" s="9"/>
      <c r="P2" s="10"/>
    </row>
    <row r="3" spans="1:16" x14ac:dyDescent="0.25">
      <c r="A3" s="22"/>
      <c r="B3" s="23" t="s">
        <v>16</v>
      </c>
      <c r="C3" s="11">
        <f>+C9/C30</f>
        <v>7500000</v>
      </c>
      <c r="D3" s="24"/>
      <c r="E3" s="34"/>
      <c r="F3" s="4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0"/>
    </row>
    <row r="4" spans="1:16" x14ac:dyDescent="0.25">
      <c r="A4" s="22"/>
      <c r="B4" s="23" t="s">
        <v>29</v>
      </c>
      <c r="C4" s="11">
        <f>+G30</f>
        <v>7682737.941143428</v>
      </c>
      <c r="D4" s="24"/>
      <c r="E4" s="34"/>
      <c r="F4" s="5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0"/>
    </row>
    <row r="5" spans="1:16" x14ac:dyDescent="0.25">
      <c r="A5" s="22"/>
      <c r="B5" s="23"/>
      <c r="C5" s="23"/>
      <c r="D5" s="24"/>
      <c r="E5" s="34"/>
      <c r="F5" s="17">
        <v>0</v>
      </c>
      <c r="G5" s="16"/>
      <c r="H5" s="17"/>
      <c r="I5" s="17"/>
      <c r="J5" s="17"/>
      <c r="K5" s="18">
        <f>-C3</f>
        <v>-7500000</v>
      </c>
      <c r="L5" s="18">
        <f>+C6</f>
        <v>0</v>
      </c>
      <c r="M5" s="17"/>
      <c r="N5" s="19">
        <f>SUM(J5:M5)</f>
        <v>-7500000</v>
      </c>
      <c r="O5" s="13">
        <f t="shared" ref="O5:O15" si="0">+N5/(1+$C$28)^F5</f>
        <v>-7500000</v>
      </c>
      <c r="P5" s="10"/>
    </row>
    <row r="6" spans="1:16" x14ac:dyDescent="0.25">
      <c r="A6" s="22"/>
      <c r="B6" s="23" t="s">
        <v>31</v>
      </c>
      <c r="C6" s="11">
        <v>0</v>
      </c>
      <c r="D6" s="24"/>
      <c r="E6" s="34"/>
      <c r="F6" s="9">
        <f>+F5+1</f>
        <v>1</v>
      </c>
      <c r="G6" s="16">
        <f>+C9</f>
        <v>450000</v>
      </c>
      <c r="H6" s="16">
        <f>-C12</f>
        <v>-50000</v>
      </c>
      <c r="I6" s="16"/>
      <c r="J6" s="16">
        <f>SUM(G6:I6)</f>
        <v>400000</v>
      </c>
      <c r="K6" s="16"/>
      <c r="L6" s="16">
        <f>-$C$6*$C$7</f>
        <v>0</v>
      </c>
      <c r="M6" s="16"/>
      <c r="N6" s="19">
        <f>SUM(J6:M6)</f>
        <v>400000</v>
      </c>
      <c r="O6" s="13">
        <f t="shared" si="0"/>
        <v>380952.38095238095</v>
      </c>
      <c r="P6" s="10"/>
    </row>
    <row r="7" spans="1:16" x14ac:dyDescent="0.25">
      <c r="A7" s="22"/>
      <c r="B7" s="23" t="s">
        <v>27</v>
      </c>
      <c r="C7" s="12">
        <v>0</v>
      </c>
      <c r="D7" s="24"/>
      <c r="E7" s="34"/>
      <c r="F7" s="9">
        <f>+F6+1</f>
        <v>2</v>
      </c>
      <c r="G7" s="16">
        <f t="shared" ref="G7:G15" si="1">+G6*(1+$C$10)</f>
        <v>459000</v>
      </c>
      <c r="H7" s="16">
        <f t="shared" ref="H7:H15" si="2">+H6*(1+$C$13)</f>
        <v>-51500</v>
      </c>
      <c r="I7" s="16"/>
      <c r="J7" s="16">
        <f t="shared" ref="J7:J15" si="3">SUM(G7:I7)</f>
        <v>407500</v>
      </c>
      <c r="K7" s="16"/>
      <c r="L7" s="16">
        <f t="shared" ref="L7:L14" si="4">-$C$6*$C$7</f>
        <v>0</v>
      </c>
      <c r="M7" s="16"/>
      <c r="N7" s="19">
        <f t="shared" ref="N7:N15" si="5">SUM(J7:M7)</f>
        <v>407500</v>
      </c>
      <c r="O7" s="13">
        <f t="shared" si="0"/>
        <v>369614.51247165533</v>
      </c>
      <c r="P7" s="10"/>
    </row>
    <row r="8" spans="1:16" x14ac:dyDescent="0.25">
      <c r="A8" s="22"/>
      <c r="B8" s="23"/>
      <c r="C8" s="23"/>
      <c r="D8" s="24"/>
      <c r="E8" s="34"/>
      <c r="F8" s="9">
        <f t="shared" ref="F8:F15" si="6">+F7+1</f>
        <v>3</v>
      </c>
      <c r="G8" s="16">
        <f t="shared" si="1"/>
        <v>468180</v>
      </c>
      <c r="H8" s="16">
        <f t="shared" si="2"/>
        <v>-53045</v>
      </c>
      <c r="I8" s="16"/>
      <c r="J8" s="16">
        <f t="shared" si="3"/>
        <v>415135</v>
      </c>
      <c r="K8" s="16"/>
      <c r="L8" s="16">
        <f t="shared" si="4"/>
        <v>0</v>
      </c>
      <c r="M8" s="16"/>
      <c r="N8" s="19">
        <f t="shared" si="5"/>
        <v>415135</v>
      </c>
      <c r="O8" s="13">
        <f t="shared" si="0"/>
        <v>358609.22146636428</v>
      </c>
      <c r="P8" s="10"/>
    </row>
    <row r="9" spans="1:16" x14ac:dyDescent="0.25">
      <c r="A9" s="22"/>
      <c r="B9" s="23" t="s">
        <v>18</v>
      </c>
      <c r="C9" s="11">
        <v>450000</v>
      </c>
      <c r="D9" s="24"/>
      <c r="E9" s="34"/>
      <c r="F9" s="9">
        <f t="shared" si="6"/>
        <v>4</v>
      </c>
      <c r="G9" s="16">
        <f t="shared" si="1"/>
        <v>477543.60000000003</v>
      </c>
      <c r="H9" s="16">
        <f t="shared" si="2"/>
        <v>-54636.35</v>
      </c>
      <c r="I9" s="16"/>
      <c r="J9" s="16">
        <f t="shared" si="3"/>
        <v>422907.25000000006</v>
      </c>
      <c r="K9" s="16"/>
      <c r="L9" s="16">
        <f t="shared" si="4"/>
        <v>0</v>
      </c>
      <c r="M9" s="16"/>
      <c r="N9" s="19">
        <f t="shared" si="5"/>
        <v>422907.25000000006</v>
      </c>
      <c r="O9" s="13">
        <f t="shared" si="0"/>
        <v>347926.84118242917</v>
      </c>
      <c r="P9" s="10"/>
    </row>
    <row r="10" spans="1:16" x14ac:dyDescent="0.25">
      <c r="A10" s="22"/>
      <c r="B10" s="23" t="s">
        <v>12</v>
      </c>
      <c r="C10" s="12">
        <v>0.02</v>
      </c>
      <c r="D10" s="24"/>
      <c r="E10" s="34"/>
      <c r="F10" s="9">
        <f t="shared" si="6"/>
        <v>5</v>
      </c>
      <c r="G10" s="16">
        <f t="shared" si="1"/>
        <v>487094.47200000007</v>
      </c>
      <c r="H10" s="16">
        <f t="shared" si="2"/>
        <v>-56275.440499999997</v>
      </c>
      <c r="I10" s="16"/>
      <c r="J10" s="16">
        <f t="shared" si="3"/>
        <v>430819.03150000004</v>
      </c>
      <c r="K10" s="16"/>
      <c r="L10" s="16">
        <f t="shared" si="4"/>
        <v>0</v>
      </c>
      <c r="M10" s="16"/>
      <c r="N10" s="19">
        <f t="shared" si="5"/>
        <v>430819.03150000004</v>
      </c>
      <c r="O10" s="13">
        <f t="shared" si="0"/>
        <v>337557.98419284931</v>
      </c>
      <c r="P10" s="10"/>
    </row>
    <row r="11" spans="1:16" x14ac:dyDescent="0.25">
      <c r="A11" s="22"/>
      <c r="B11" s="23"/>
      <c r="C11" s="23"/>
      <c r="D11" s="24"/>
      <c r="E11" s="34"/>
      <c r="F11" s="9">
        <f t="shared" si="6"/>
        <v>6</v>
      </c>
      <c r="G11" s="16">
        <f t="shared" si="1"/>
        <v>496836.36144000007</v>
      </c>
      <c r="H11" s="16">
        <f t="shared" si="2"/>
        <v>-57963.703714999996</v>
      </c>
      <c r="I11" s="16"/>
      <c r="J11" s="16">
        <f t="shared" si="3"/>
        <v>438872.65772500006</v>
      </c>
      <c r="K11" s="16"/>
      <c r="L11" s="16">
        <f t="shared" si="4"/>
        <v>0</v>
      </c>
      <c r="M11" s="16"/>
      <c r="N11" s="19">
        <f t="shared" si="5"/>
        <v>438872.65772500006</v>
      </c>
      <c r="O11" s="13">
        <f t="shared" si="0"/>
        <v>327493.53435723187</v>
      </c>
      <c r="P11" s="10"/>
    </row>
    <row r="12" spans="1:16" x14ac:dyDescent="0.25">
      <c r="A12" s="22"/>
      <c r="B12" s="23" t="s">
        <v>1</v>
      </c>
      <c r="C12" s="11">
        <v>50000</v>
      </c>
      <c r="D12" s="24"/>
      <c r="E12" s="34"/>
      <c r="F12" s="9">
        <f t="shared" si="6"/>
        <v>7</v>
      </c>
      <c r="G12" s="16">
        <f t="shared" si="1"/>
        <v>506773.08866880008</v>
      </c>
      <c r="H12" s="16">
        <f t="shared" si="2"/>
        <v>-59702.614826450001</v>
      </c>
      <c r="I12" s="16"/>
      <c r="J12" s="16">
        <f t="shared" si="3"/>
        <v>447070.47384235007</v>
      </c>
      <c r="K12" s="16"/>
      <c r="L12" s="16">
        <f t="shared" si="4"/>
        <v>0</v>
      </c>
      <c r="M12" s="16"/>
      <c r="N12" s="19">
        <f t="shared" si="5"/>
        <v>447070.47384235007</v>
      </c>
      <c r="O12" s="13">
        <f t="shared" si="0"/>
        <v>317724.63901218504</v>
      </c>
      <c r="P12" s="10"/>
    </row>
    <row r="13" spans="1:16" x14ac:dyDescent="0.25">
      <c r="A13" s="22"/>
      <c r="B13" s="23" t="s">
        <v>11</v>
      </c>
      <c r="C13" s="12">
        <v>0.03</v>
      </c>
      <c r="D13" s="24"/>
      <c r="E13" s="34"/>
      <c r="F13" s="9">
        <f t="shared" si="6"/>
        <v>8</v>
      </c>
      <c r="G13" s="16">
        <f t="shared" si="1"/>
        <v>516908.55044217611</v>
      </c>
      <c r="H13" s="16">
        <f t="shared" si="2"/>
        <v>-61493.693271243501</v>
      </c>
      <c r="I13" s="16"/>
      <c r="J13" s="16">
        <f t="shared" si="3"/>
        <v>455414.85717093264</v>
      </c>
      <c r="K13" s="16"/>
      <c r="L13" s="16">
        <f t="shared" si="4"/>
        <v>0</v>
      </c>
      <c r="M13" s="16"/>
      <c r="N13" s="19">
        <f t="shared" si="5"/>
        <v>455414.85717093264</v>
      </c>
      <c r="O13" s="13">
        <f t="shared" si="0"/>
        <v>308242.70138595975</v>
      </c>
      <c r="P13" s="10"/>
    </row>
    <row r="14" spans="1:16" x14ac:dyDescent="0.25">
      <c r="A14" s="22"/>
      <c r="B14" s="23"/>
      <c r="C14" s="23"/>
      <c r="D14" s="24"/>
      <c r="E14" s="34"/>
      <c r="F14" s="9">
        <f t="shared" si="6"/>
        <v>9</v>
      </c>
      <c r="G14" s="16">
        <f t="shared" si="1"/>
        <v>527246.72145101964</v>
      </c>
      <c r="H14" s="16">
        <f t="shared" si="2"/>
        <v>-63338.504069380804</v>
      </c>
      <c r="I14" s="16"/>
      <c r="J14" s="16">
        <f t="shared" si="3"/>
        <v>463908.21738163882</v>
      </c>
      <c r="K14" s="16"/>
      <c r="L14" s="16">
        <f t="shared" si="4"/>
        <v>0</v>
      </c>
      <c r="M14" s="16"/>
      <c r="N14" s="19">
        <f t="shared" si="5"/>
        <v>463908.21738163882</v>
      </c>
      <c r="O14" s="13">
        <f t="shared" si="0"/>
        <v>299039.37323090853</v>
      </c>
      <c r="P14" s="10"/>
    </row>
    <row r="15" spans="1:16" x14ac:dyDescent="0.25">
      <c r="A15" s="22"/>
      <c r="B15" s="23" t="s">
        <v>23</v>
      </c>
      <c r="C15" s="30">
        <f>+C3/(C9-C12)</f>
        <v>18.75</v>
      </c>
      <c r="D15" s="24"/>
      <c r="E15" s="34"/>
      <c r="F15" s="9">
        <f t="shared" si="6"/>
        <v>10</v>
      </c>
      <c r="G15" s="16">
        <f t="shared" si="1"/>
        <v>537791.65588004002</v>
      </c>
      <c r="H15" s="16">
        <f t="shared" si="2"/>
        <v>-65238.659191462233</v>
      </c>
      <c r="I15" s="16"/>
      <c r="J15" s="16">
        <f t="shared" si="3"/>
        <v>472552.99668857781</v>
      </c>
      <c r="K15" s="16"/>
      <c r="L15" s="16">
        <f>-$C$6*$C$7-C6</f>
        <v>0</v>
      </c>
      <c r="M15" s="16">
        <f>+C4</f>
        <v>7682737.941143428</v>
      </c>
      <c r="N15" s="19">
        <f t="shared" si="5"/>
        <v>8155290.9378320053</v>
      </c>
      <c r="O15" s="13">
        <f t="shared" si="0"/>
        <v>5006641.1932159169</v>
      </c>
      <c r="P15" s="10"/>
    </row>
    <row r="16" spans="1:16" x14ac:dyDescent="0.25">
      <c r="A16" s="22"/>
      <c r="B16" s="23"/>
      <c r="C16" s="31" t="s">
        <v>0</v>
      </c>
      <c r="D16" s="24"/>
      <c r="E16" s="34"/>
      <c r="F16" s="9"/>
      <c r="G16" s="16"/>
      <c r="H16" s="16"/>
      <c r="I16" s="16"/>
      <c r="J16" s="16"/>
      <c r="K16" s="16"/>
      <c r="L16" s="16"/>
      <c r="M16" s="16"/>
      <c r="N16" s="19"/>
      <c r="O16" s="13"/>
      <c r="P16" s="10"/>
    </row>
    <row r="17" spans="1:16" x14ac:dyDescent="0.25">
      <c r="A17" s="22"/>
      <c r="B17" s="23"/>
      <c r="C17" s="23"/>
      <c r="D17" s="24"/>
      <c r="E17" s="34"/>
      <c r="F17" s="9"/>
      <c r="G17" s="16"/>
      <c r="H17" s="16"/>
      <c r="I17" s="16"/>
      <c r="J17" s="16"/>
      <c r="K17" s="16"/>
      <c r="L17" s="16"/>
      <c r="M17" s="16"/>
      <c r="N17" s="19"/>
      <c r="O17" s="13"/>
      <c r="P17" s="10"/>
    </row>
    <row r="18" spans="1:16" x14ac:dyDescent="0.25">
      <c r="A18" s="22"/>
      <c r="B18" s="23" t="s">
        <v>28</v>
      </c>
      <c r="C18" s="23"/>
      <c r="D18" s="24"/>
      <c r="E18" s="34"/>
      <c r="F18" s="4"/>
      <c r="G18" s="8" t="s">
        <v>34</v>
      </c>
      <c r="H18" s="8" t="s">
        <v>33</v>
      </c>
      <c r="I18" s="8" t="s">
        <v>35</v>
      </c>
      <c r="J18" s="8" t="s">
        <v>36</v>
      </c>
      <c r="K18" s="8"/>
      <c r="L18" s="17"/>
      <c r="M18" s="17"/>
      <c r="N18" s="9"/>
      <c r="O18" s="9"/>
      <c r="P18" s="10"/>
    </row>
    <row r="19" spans="1:16" x14ac:dyDescent="0.25">
      <c r="A19" s="22"/>
      <c r="B19" s="23" t="s">
        <v>30</v>
      </c>
      <c r="C19" s="29">
        <f>SUM(O6:O15)</f>
        <v>8053802.3814678807</v>
      </c>
      <c r="D19" s="24"/>
      <c r="E19" s="34"/>
      <c r="F19" s="5" t="s">
        <v>0</v>
      </c>
      <c r="G19" s="5" t="s">
        <v>21</v>
      </c>
      <c r="H19" s="5" t="s">
        <v>32</v>
      </c>
      <c r="I19" s="5" t="s">
        <v>32</v>
      </c>
      <c r="J19" s="5" t="s">
        <v>32</v>
      </c>
      <c r="K19" s="5" t="s">
        <v>14</v>
      </c>
      <c r="L19" s="17"/>
      <c r="M19" s="17"/>
      <c r="N19" s="9"/>
      <c r="O19" s="9"/>
      <c r="P19" s="10"/>
    </row>
    <row r="20" spans="1:16" x14ac:dyDescent="0.25">
      <c r="A20" s="22"/>
      <c r="B20" s="23"/>
      <c r="C20" s="23"/>
      <c r="D20" s="24"/>
      <c r="E20" s="34"/>
      <c r="F20" s="17">
        <v>0</v>
      </c>
      <c r="G20" s="16">
        <f>+C3</f>
        <v>7500000</v>
      </c>
      <c r="H20" s="16"/>
      <c r="I20" s="16"/>
      <c r="J20" s="19"/>
      <c r="K20" s="36">
        <f>+C30</f>
        <v>0.06</v>
      </c>
      <c r="L20" s="17"/>
      <c r="M20" s="17"/>
      <c r="N20" s="9"/>
      <c r="O20" s="9"/>
      <c r="P20" s="10"/>
    </row>
    <row r="21" spans="1:16" x14ac:dyDescent="0.25">
      <c r="A21" s="22"/>
      <c r="B21" s="23" t="s">
        <v>24</v>
      </c>
      <c r="C21" s="23"/>
      <c r="D21" s="24"/>
      <c r="E21" s="34"/>
      <c r="F21" s="9">
        <f>+F20+1</f>
        <v>1</v>
      </c>
      <c r="G21" s="16">
        <f>+G6/K21</f>
        <v>7377049.180327869</v>
      </c>
      <c r="H21" s="33">
        <f>+J6/G20</f>
        <v>5.3333333333333337E-2</v>
      </c>
      <c r="I21" s="33">
        <f>(G21-G20)/G20</f>
        <v>-1.6393442622950796E-2</v>
      </c>
      <c r="J21" s="12">
        <f>+H21+I21</f>
        <v>3.6939890710382541E-2</v>
      </c>
      <c r="K21" s="12">
        <f>+K20+0.001</f>
        <v>6.0999999999999999E-2</v>
      </c>
      <c r="L21" s="17"/>
      <c r="M21" s="17"/>
      <c r="N21" s="9"/>
      <c r="O21" s="9"/>
      <c r="P21" s="10"/>
    </row>
    <row r="22" spans="1:16" x14ac:dyDescent="0.25">
      <c r="A22" s="22"/>
      <c r="B22" s="23" t="s">
        <v>30</v>
      </c>
      <c r="C22" s="29">
        <f>NPV(C28,N6:N15)+N5</f>
        <v>553802.38146787882</v>
      </c>
      <c r="D22" s="24"/>
      <c r="E22" s="34"/>
      <c r="F22" s="9">
        <f>+F21+1</f>
        <v>2</v>
      </c>
      <c r="G22" s="16">
        <f t="shared" ref="G22:G30" si="7">+G7/K22</f>
        <v>7403225.8064516131</v>
      </c>
      <c r="H22" s="33">
        <f t="shared" ref="H22:H30" si="8">+J7/G21</f>
        <v>5.5238888888888886E-2</v>
      </c>
      <c r="I22" s="33">
        <f t="shared" ref="I22:I30" si="9">(G22-G21)/G21</f>
        <v>3.5483870967741951E-3</v>
      </c>
      <c r="J22" s="12">
        <f t="shared" ref="J22:J30" si="10">+H22+I22</f>
        <v>5.8787275985663079E-2</v>
      </c>
      <c r="K22" s="12">
        <f t="shared" ref="K22:K30" si="11">+K21+0.001</f>
        <v>6.2E-2</v>
      </c>
      <c r="L22" s="17"/>
      <c r="M22" s="17"/>
      <c r="N22" s="9"/>
      <c r="O22" s="9"/>
      <c r="P22" s="10"/>
    </row>
    <row r="23" spans="1:16" x14ac:dyDescent="0.25">
      <c r="A23" s="22"/>
      <c r="B23" s="23"/>
      <c r="C23" s="23"/>
      <c r="D23" s="24"/>
      <c r="E23" s="34"/>
      <c r="F23" s="9">
        <f t="shared" ref="F23:F30" si="12">+F22+1</f>
        <v>3</v>
      </c>
      <c r="G23" s="16">
        <f t="shared" si="7"/>
        <v>7431428.5714285718</v>
      </c>
      <c r="H23" s="33">
        <f t="shared" si="8"/>
        <v>5.6074880174291936E-2</v>
      </c>
      <c r="I23" s="33">
        <f t="shared" si="9"/>
        <v>3.809523809523839E-3</v>
      </c>
      <c r="J23" s="12">
        <f t="shared" si="10"/>
        <v>5.9884403983815775E-2</v>
      </c>
      <c r="K23" s="12">
        <f t="shared" si="11"/>
        <v>6.3E-2</v>
      </c>
      <c r="L23" s="17"/>
      <c r="M23" s="17"/>
      <c r="N23" s="9"/>
      <c r="O23" s="9"/>
      <c r="P23" s="10"/>
    </row>
    <row r="24" spans="1:16" x14ac:dyDescent="0.25">
      <c r="A24" s="22"/>
      <c r="B24" s="23" t="s">
        <v>15</v>
      </c>
      <c r="C24" s="23"/>
      <c r="D24" s="24"/>
      <c r="E24" s="34"/>
      <c r="F24" s="9">
        <f t="shared" si="12"/>
        <v>4</v>
      </c>
      <c r="G24" s="16">
        <f t="shared" si="7"/>
        <v>7461618.75</v>
      </c>
      <c r="H24" s="33">
        <f t="shared" si="8"/>
        <v>5.6907934448289121E-2</v>
      </c>
      <c r="I24" s="33">
        <f t="shared" si="9"/>
        <v>4.0624999999999464E-3</v>
      </c>
      <c r="J24" s="12">
        <f t="shared" si="10"/>
        <v>6.0970434448289069E-2</v>
      </c>
      <c r="K24" s="12">
        <f t="shared" si="11"/>
        <v>6.4000000000000001E-2</v>
      </c>
      <c r="L24" s="17"/>
      <c r="M24" s="17"/>
      <c r="N24" s="9"/>
      <c r="O24" s="9"/>
      <c r="P24" s="10"/>
    </row>
    <row r="25" spans="1:16" x14ac:dyDescent="0.25">
      <c r="A25" s="22"/>
      <c r="B25" s="23" t="s">
        <v>30</v>
      </c>
      <c r="C25" s="32">
        <f>IRR(N5:N15,C28)</f>
        <v>5.9401586125370498E-2</v>
      </c>
      <c r="D25" s="24"/>
      <c r="E25" s="34"/>
      <c r="F25" s="9">
        <f t="shared" si="12"/>
        <v>5</v>
      </c>
      <c r="G25" s="16">
        <f t="shared" si="7"/>
        <v>7493761.1076923087</v>
      </c>
      <c r="H25" s="33">
        <f t="shared" si="8"/>
        <v>5.7738011808764693E-2</v>
      </c>
      <c r="I25" s="33">
        <f t="shared" si="9"/>
        <v>4.3076923076924463E-3</v>
      </c>
      <c r="J25" s="12">
        <f t="shared" si="10"/>
        <v>6.2045704116457143E-2</v>
      </c>
      <c r="K25" s="12">
        <f t="shared" si="11"/>
        <v>6.5000000000000002E-2</v>
      </c>
      <c r="L25" s="17"/>
      <c r="M25" s="17"/>
      <c r="N25" s="9"/>
      <c r="O25" s="9"/>
      <c r="P25" s="10"/>
    </row>
    <row r="26" spans="1:16" x14ac:dyDescent="0.25">
      <c r="A26" s="22"/>
      <c r="B26" s="23"/>
      <c r="C26" s="23"/>
      <c r="D26" s="24"/>
      <c r="E26" s="34"/>
      <c r="F26" s="9">
        <f t="shared" si="12"/>
        <v>6</v>
      </c>
      <c r="G26" s="16">
        <f t="shared" si="7"/>
        <v>7527823.6581818191</v>
      </c>
      <c r="H26" s="33">
        <f t="shared" si="8"/>
        <v>5.856507185350484E-2</v>
      </c>
      <c r="I26" s="33">
        <f t="shared" si="9"/>
        <v>4.545454545454534E-3</v>
      </c>
      <c r="J26" s="12">
        <f t="shared" si="10"/>
        <v>6.311052639895938E-2</v>
      </c>
      <c r="K26" s="12">
        <f t="shared" si="11"/>
        <v>6.6000000000000003E-2</v>
      </c>
      <c r="L26" s="17"/>
      <c r="M26" s="17"/>
      <c r="N26" s="9"/>
      <c r="O26" s="9"/>
      <c r="P26" s="10"/>
    </row>
    <row r="27" spans="1:16" x14ac:dyDescent="0.25">
      <c r="A27" s="22"/>
      <c r="B27" s="23" t="s">
        <v>13</v>
      </c>
      <c r="C27" s="23"/>
      <c r="D27" s="24"/>
      <c r="E27" s="34"/>
      <c r="F27" s="9">
        <f t="shared" si="12"/>
        <v>7</v>
      </c>
      <c r="G27" s="16">
        <f t="shared" si="7"/>
        <v>7563777.4428179115</v>
      </c>
      <c r="H27" s="33">
        <f t="shared" si="8"/>
        <v>5.9389073674227133E-2</v>
      </c>
      <c r="I27" s="33">
        <f t="shared" si="9"/>
        <v>4.7761194029850886E-3</v>
      </c>
      <c r="J27" s="12">
        <f t="shared" si="10"/>
        <v>6.4165193077212218E-2</v>
      </c>
      <c r="K27" s="12">
        <f t="shared" si="11"/>
        <v>6.7000000000000004E-2</v>
      </c>
      <c r="L27" s="17"/>
      <c r="M27" s="17"/>
      <c r="N27" s="9"/>
      <c r="O27" s="9"/>
      <c r="P27" s="10"/>
    </row>
    <row r="28" spans="1:16" x14ac:dyDescent="0.25">
      <c r="A28" s="22"/>
      <c r="B28" s="23" t="s">
        <v>25</v>
      </c>
      <c r="C28" s="12">
        <v>0.05</v>
      </c>
      <c r="D28" s="24"/>
      <c r="E28" s="34"/>
      <c r="F28" s="9">
        <f t="shared" si="12"/>
        <v>8</v>
      </c>
      <c r="G28" s="16">
        <f t="shared" si="7"/>
        <v>7601596.3300320012</v>
      </c>
      <c r="H28" s="33">
        <f t="shared" si="8"/>
        <v>6.0209975850540921E-2</v>
      </c>
      <c r="I28" s="33">
        <f t="shared" si="9"/>
        <v>5.0000000000000244E-3</v>
      </c>
      <c r="J28" s="12">
        <f t="shared" si="10"/>
        <v>6.5209975850540947E-2</v>
      </c>
      <c r="K28" s="12">
        <f t="shared" si="11"/>
        <v>6.8000000000000005E-2</v>
      </c>
      <c r="L28" s="17"/>
      <c r="M28" s="17"/>
      <c r="N28" s="9"/>
      <c r="O28" s="9"/>
      <c r="P28" s="10"/>
    </row>
    <row r="29" spans="1:16" x14ac:dyDescent="0.25">
      <c r="A29" s="22"/>
      <c r="B29" s="23"/>
      <c r="C29" s="23"/>
      <c r="D29" s="24"/>
      <c r="E29" s="34"/>
      <c r="F29" s="9">
        <f t="shared" si="12"/>
        <v>9</v>
      </c>
      <c r="G29" s="16">
        <f t="shared" si="7"/>
        <v>7641256.8326234724</v>
      </c>
      <c r="H29" s="33">
        <f t="shared" si="8"/>
        <v>6.1027736443837959E-2</v>
      </c>
      <c r="I29" s="33">
        <f t="shared" si="9"/>
        <v>5.21739130434781E-3</v>
      </c>
      <c r="J29" s="12">
        <f t="shared" si="10"/>
        <v>6.6245127748185764E-2</v>
      </c>
      <c r="K29" s="12">
        <f t="shared" si="11"/>
        <v>6.9000000000000006E-2</v>
      </c>
      <c r="L29" s="17"/>
      <c r="M29" s="17"/>
      <c r="N29" s="9"/>
      <c r="O29" s="9"/>
      <c r="P29" s="10"/>
    </row>
    <row r="30" spans="1:16" x14ac:dyDescent="0.25">
      <c r="A30" s="22"/>
      <c r="B30" s="23" t="s">
        <v>14</v>
      </c>
      <c r="C30" s="28">
        <v>0.06</v>
      </c>
      <c r="D30" s="24"/>
      <c r="E30" s="34"/>
      <c r="F30" s="9">
        <f t="shared" si="12"/>
        <v>10</v>
      </c>
      <c r="G30" s="16">
        <f t="shared" si="7"/>
        <v>7682737.941143428</v>
      </c>
      <c r="H30" s="33">
        <f t="shared" si="8"/>
        <v>6.1842312991112515E-2</v>
      </c>
      <c r="I30" s="33">
        <f t="shared" si="9"/>
        <v>5.4285714285713695E-3</v>
      </c>
      <c r="J30" s="12">
        <f t="shared" si="10"/>
        <v>6.7270884419683888E-2</v>
      </c>
      <c r="K30" s="12">
        <f t="shared" si="11"/>
        <v>7.0000000000000007E-2</v>
      </c>
      <c r="L30" s="17"/>
      <c r="M30" s="17"/>
      <c r="N30" s="9"/>
      <c r="O30" s="9"/>
      <c r="P30" s="10"/>
    </row>
    <row r="31" spans="1:16" x14ac:dyDescent="0.25">
      <c r="A31" s="22"/>
      <c r="B31" s="23"/>
      <c r="C31" s="23"/>
      <c r="D31" s="24"/>
      <c r="E31" s="34"/>
      <c r="F31" s="9"/>
      <c r="G31" s="16"/>
      <c r="H31" s="16"/>
      <c r="I31" s="16"/>
      <c r="J31" s="19"/>
      <c r="K31" s="13"/>
      <c r="L31" s="17"/>
      <c r="M31" s="17"/>
      <c r="N31" s="9"/>
      <c r="O31" s="9"/>
      <c r="P31" s="10"/>
    </row>
    <row r="32" spans="1:16" x14ac:dyDescent="0.25">
      <c r="A32" s="22"/>
      <c r="B32" s="23"/>
      <c r="C32" s="23"/>
      <c r="D32" s="24"/>
      <c r="E32" s="34"/>
      <c r="F32" s="9"/>
      <c r="G32" s="17"/>
      <c r="H32" s="17"/>
      <c r="I32" s="17" t="s">
        <v>37</v>
      </c>
      <c r="J32" s="36">
        <f>SUM(J21:J30)/10</f>
        <v>6.0462941673918982E-2</v>
      </c>
      <c r="K32" s="9"/>
      <c r="L32" s="17"/>
      <c r="M32" s="17"/>
      <c r="N32" s="9"/>
      <c r="O32" s="9"/>
      <c r="P32" s="10"/>
    </row>
    <row r="33" spans="1:16" x14ac:dyDescent="0.25">
      <c r="A33" s="25"/>
      <c r="B33" s="26"/>
      <c r="C33" s="26"/>
      <c r="D33" s="27"/>
      <c r="E33" s="35"/>
      <c r="F33" s="14"/>
      <c r="G33" s="20"/>
      <c r="H33" s="21"/>
      <c r="I33" s="21"/>
      <c r="J33" s="21"/>
      <c r="K33" s="21"/>
      <c r="L33" s="21"/>
      <c r="M33" s="21"/>
      <c r="N33" s="14"/>
      <c r="O33" s="14"/>
      <c r="P33" s="15"/>
    </row>
    <row r="34" spans="1:16" x14ac:dyDescent="0.25">
      <c r="A34" s="9"/>
      <c r="B34" s="9"/>
      <c r="C34" s="9"/>
      <c r="D34" s="9"/>
      <c r="E34" s="9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X16" sqref="X16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39" t="s">
        <v>22</v>
      </c>
      <c r="B1" s="40"/>
      <c r="C1" s="40"/>
      <c r="D1" s="41"/>
      <c r="E1" s="39" t="s">
        <v>19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x14ac:dyDescent="0.25">
      <c r="A2" s="22"/>
      <c r="B2" s="23"/>
      <c r="C2" s="23"/>
      <c r="D2" s="24"/>
      <c r="E2" s="34"/>
      <c r="F2" s="9"/>
      <c r="G2" s="16"/>
      <c r="H2" s="17"/>
      <c r="I2" s="17"/>
      <c r="J2" s="17"/>
      <c r="K2" s="17"/>
      <c r="L2" s="17"/>
      <c r="M2" s="17"/>
      <c r="N2" s="9"/>
      <c r="O2" s="9"/>
      <c r="P2" s="10"/>
    </row>
    <row r="3" spans="1:16" x14ac:dyDescent="0.25">
      <c r="A3" s="22"/>
      <c r="B3" s="23" t="s">
        <v>16</v>
      </c>
      <c r="C3" s="11">
        <f>+C9/C30</f>
        <v>7692307.692307692</v>
      </c>
      <c r="D3" s="24"/>
      <c r="E3" s="34"/>
      <c r="F3" s="4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0"/>
    </row>
    <row r="4" spans="1:16" x14ac:dyDescent="0.25">
      <c r="A4" s="22"/>
      <c r="B4" s="23" t="s">
        <v>29</v>
      </c>
      <c r="C4" s="11">
        <f>+G30</f>
        <v>7967283.7908154046</v>
      </c>
      <c r="D4" s="24"/>
      <c r="E4" s="34"/>
      <c r="F4" s="5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0"/>
    </row>
    <row r="5" spans="1:16" x14ac:dyDescent="0.25">
      <c r="A5" s="22"/>
      <c r="B5" s="23"/>
      <c r="C5" s="23"/>
      <c r="D5" s="24"/>
      <c r="E5" s="34"/>
      <c r="F5" s="17">
        <v>0</v>
      </c>
      <c r="G5" s="16"/>
      <c r="H5" s="17"/>
      <c r="I5" s="17"/>
      <c r="J5" s="17"/>
      <c r="K5" s="18">
        <f>-C3</f>
        <v>-7692307.692307692</v>
      </c>
      <c r="L5" s="18">
        <f>+C6</f>
        <v>0</v>
      </c>
      <c r="M5" s="17"/>
      <c r="N5" s="19">
        <f>SUM(J5:M5)</f>
        <v>-7692307.692307692</v>
      </c>
      <c r="O5" s="13">
        <f t="shared" ref="O5:O15" si="0">+N5/(1+$C$28)^F5</f>
        <v>-7692307.692307692</v>
      </c>
      <c r="P5" s="10"/>
    </row>
    <row r="6" spans="1:16" x14ac:dyDescent="0.25">
      <c r="A6" s="22"/>
      <c r="B6" s="23" t="s">
        <v>31</v>
      </c>
      <c r="C6" s="11">
        <v>0</v>
      </c>
      <c r="D6" s="24"/>
      <c r="E6" s="34"/>
      <c r="F6" s="9">
        <f>+F5+1</f>
        <v>1</v>
      </c>
      <c r="G6" s="16">
        <f>+C9</f>
        <v>500000</v>
      </c>
      <c r="H6" s="16">
        <f>-C12</f>
        <v>-75000</v>
      </c>
      <c r="I6" s="16"/>
      <c r="J6" s="16">
        <f>SUM(G6:I6)</f>
        <v>425000</v>
      </c>
      <c r="K6" s="16"/>
      <c r="L6" s="16">
        <f>-$C$6*$C$7</f>
        <v>0</v>
      </c>
      <c r="M6" s="16"/>
      <c r="N6" s="19">
        <f>SUM(J6:M6)</f>
        <v>425000</v>
      </c>
      <c r="O6" s="13">
        <f t="shared" si="0"/>
        <v>404761.90476190473</v>
      </c>
      <c r="P6" s="10"/>
    </row>
    <row r="7" spans="1:16" x14ac:dyDescent="0.25">
      <c r="A7" s="22"/>
      <c r="B7" s="23" t="s">
        <v>27</v>
      </c>
      <c r="C7" s="12">
        <v>0</v>
      </c>
      <c r="D7" s="24"/>
      <c r="E7" s="34"/>
      <c r="F7" s="9">
        <f>+F6+1</f>
        <v>2</v>
      </c>
      <c r="G7" s="16">
        <f t="shared" ref="G7:G15" si="1">+G6*(1+$C$10)</f>
        <v>510000</v>
      </c>
      <c r="H7" s="16">
        <f t="shared" ref="H7:H15" si="2">+H6*(1+$C$13)</f>
        <v>-77250</v>
      </c>
      <c r="I7" s="16"/>
      <c r="J7" s="16">
        <f t="shared" ref="J7:J15" si="3">SUM(G7:I7)</f>
        <v>432750</v>
      </c>
      <c r="K7" s="16"/>
      <c r="L7" s="16">
        <f t="shared" ref="L7:L14" si="4">-$C$6*$C$7</f>
        <v>0</v>
      </c>
      <c r="M7" s="16"/>
      <c r="N7" s="19">
        <f t="shared" ref="N7:N15" si="5">SUM(J7:M7)</f>
        <v>432750</v>
      </c>
      <c r="O7" s="13">
        <f t="shared" si="0"/>
        <v>392517.00680272107</v>
      </c>
      <c r="P7" s="10"/>
    </row>
    <row r="8" spans="1:16" x14ac:dyDescent="0.25">
      <c r="A8" s="22"/>
      <c r="B8" s="23"/>
      <c r="C8" s="23"/>
      <c r="D8" s="24"/>
      <c r="E8" s="34"/>
      <c r="F8" s="9">
        <f t="shared" ref="F8:F15" si="6">+F7+1</f>
        <v>3</v>
      </c>
      <c r="G8" s="16">
        <f t="shared" si="1"/>
        <v>520200</v>
      </c>
      <c r="H8" s="16">
        <f t="shared" si="2"/>
        <v>-79567.5</v>
      </c>
      <c r="I8" s="16"/>
      <c r="J8" s="16">
        <f t="shared" si="3"/>
        <v>440632.5</v>
      </c>
      <c r="K8" s="16"/>
      <c r="L8" s="16">
        <f t="shared" si="4"/>
        <v>0</v>
      </c>
      <c r="M8" s="16"/>
      <c r="N8" s="19">
        <f t="shared" si="5"/>
        <v>440632.5</v>
      </c>
      <c r="O8" s="13">
        <f t="shared" si="0"/>
        <v>380634.92063492059</v>
      </c>
      <c r="P8" s="10"/>
    </row>
    <row r="9" spans="1:16" x14ac:dyDescent="0.25">
      <c r="A9" s="22"/>
      <c r="B9" s="23" t="s">
        <v>18</v>
      </c>
      <c r="C9" s="11">
        <v>500000</v>
      </c>
      <c r="D9" s="24"/>
      <c r="E9" s="34"/>
      <c r="F9" s="9">
        <f t="shared" si="6"/>
        <v>4</v>
      </c>
      <c r="G9" s="16">
        <f t="shared" si="1"/>
        <v>530604</v>
      </c>
      <c r="H9" s="16">
        <f t="shared" si="2"/>
        <v>-81954.525000000009</v>
      </c>
      <c r="I9" s="16"/>
      <c r="J9" s="16">
        <f t="shared" si="3"/>
        <v>448649.47499999998</v>
      </c>
      <c r="K9" s="16"/>
      <c r="L9" s="16">
        <f t="shared" si="4"/>
        <v>0</v>
      </c>
      <c r="M9" s="16"/>
      <c r="N9" s="19">
        <f t="shared" si="5"/>
        <v>448649.47499999998</v>
      </c>
      <c r="O9" s="13">
        <f t="shared" si="0"/>
        <v>369105.03339657857</v>
      </c>
      <c r="P9" s="10"/>
    </row>
    <row r="10" spans="1:16" x14ac:dyDescent="0.25">
      <c r="A10" s="22"/>
      <c r="B10" s="23" t="s">
        <v>12</v>
      </c>
      <c r="C10" s="12">
        <v>0.02</v>
      </c>
      <c r="D10" s="24"/>
      <c r="E10" s="34"/>
      <c r="F10" s="9">
        <f t="shared" si="6"/>
        <v>5</v>
      </c>
      <c r="G10" s="16">
        <f t="shared" si="1"/>
        <v>541216.07999999996</v>
      </c>
      <c r="H10" s="16">
        <f t="shared" si="2"/>
        <v>-84413.16075000001</v>
      </c>
      <c r="I10" s="16"/>
      <c r="J10" s="16">
        <f t="shared" si="3"/>
        <v>456802.91924999992</v>
      </c>
      <c r="K10" s="16"/>
      <c r="L10" s="16">
        <f t="shared" si="4"/>
        <v>0</v>
      </c>
      <c r="M10" s="16"/>
      <c r="N10" s="19">
        <f t="shared" si="5"/>
        <v>456802.91924999992</v>
      </c>
      <c r="O10" s="13">
        <f t="shared" si="0"/>
        <v>357917.04015155346</v>
      </c>
      <c r="P10" s="10"/>
    </row>
    <row r="11" spans="1:16" x14ac:dyDescent="0.25">
      <c r="A11" s="22"/>
      <c r="B11" s="23"/>
      <c r="C11" s="23"/>
      <c r="D11" s="24"/>
      <c r="E11" s="34"/>
      <c r="F11" s="9">
        <f t="shared" si="6"/>
        <v>6</v>
      </c>
      <c r="G11" s="16">
        <f t="shared" si="1"/>
        <v>552040.40159999998</v>
      </c>
      <c r="H11" s="16">
        <f t="shared" si="2"/>
        <v>-86945.555572500016</v>
      </c>
      <c r="I11" s="16"/>
      <c r="J11" s="16">
        <f t="shared" si="3"/>
        <v>465094.8460275</v>
      </c>
      <c r="K11" s="16"/>
      <c r="L11" s="16">
        <f t="shared" si="4"/>
        <v>0</v>
      </c>
      <c r="M11" s="16"/>
      <c r="N11" s="19">
        <f t="shared" si="5"/>
        <v>465094.8460275</v>
      </c>
      <c r="O11" s="13">
        <f t="shared" si="0"/>
        <v>347060.93500206218</v>
      </c>
      <c r="P11" s="10"/>
    </row>
    <row r="12" spans="1:16" x14ac:dyDescent="0.25">
      <c r="A12" s="22"/>
      <c r="B12" s="23" t="s">
        <v>1</v>
      </c>
      <c r="C12" s="11">
        <v>75000</v>
      </c>
      <c r="D12" s="24"/>
      <c r="E12" s="34"/>
      <c r="F12" s="9">
        <f t="shared" si="6"/>
        <v>7</v>
      </c>
      <c r="G12" s="16">
        <f t="shared" si="1"/>
        <v>563081.20963199995</v>
      </c>
      <c r="H12" s="16">
        <f t="shared" si="2"/>
        <v>-89553.922239675012</v>
      </c>
      <c r="I12" s="16"/>
      <c r="J12" s="16">
        <f t="shared" si="3"/>
        <v>473527.28739232494</v>
      </c>
      <c r="K12" s="16"/>
      <c r="L12" s="16">
        <f t="shared" si="4"/>
        <v>0</v>
      </c>
      <c r="M12" s="16"/>
      <c r="N12" s="19">
        <f t="shared" si="5"/>
        <v>473527.28739232494</v>
      </c>
      <c r="O12" s="13">
        <f t="shared" si="0"/>
        <v>336527.00245688576</v>
      </c>
      <c r="P12" s="10"/>
    </row>
    <row r="13" spans="1:16" x14ac:dyDescent="0.25">
      <c r="A13" s="22"/>
      <c r="B13" s="23" t="s">
        <v>11</v>
      </c>
      <c r="C13" s="12">
        <v>0.03</v>
      </c>
      <c r="D13" s="24"/>
      <c r="E13" s="34"/>
      <c r="F13" s="9">
        <f t="shared" si="6"/>
        <v>8</v>
      </c>
      <c r="G13" s="16">
        <f t="shared" si="1"/>
        <v>574342.83382463991</v>
      </c>
      <c r="H13" s="16">
        <f t="shared" si="2"/>
        <v>-92240.539906865262</v>
      </c>
      <c r="I13" s="16"/>
      <c r="J13" s="16">
        <f t="shared" si="3"/>
        <v>482102.29391777463</v>
      </c>
      <c r="K13" s="16"/>
      <c r="L13" s="16">
        <f t="shared" si="4"/>
        <v>0</v>
      </c>
      <c r="M13" s="16"/>
      <c r="N13" s="19">
        <f t="shared" si="5"/>
        <v>482102.29391777463</v>
      </c>
      <c r="O13" s="13">
        <f t="shared" si="0"/>
        <v>326305.80904787319</v>
      </c>
      <c r="P13" s="10"/>
    </row>
    <row r="14" spans="1:16" x14ac:dyDescent="0.25">
      <c r="A14" s="22"/>
      <c r="B14" s="23"/>
      <c r="C14" s="23"/>
      <c r="D14" s="24"/>
      <c r="E14" s="34"/>
      <c r="F14" s="9">
        <f t="shared" si="6"/>
        <v>9</v>
      </c>
      <c r="G14" s="16">
        <f t="shared" si="1"/>
        <v>585829.69050113275</v>
      </c>
      <c r="H14" s="16">
        <f t="shared" si="2"/>
        <v>-95007.756104071217</v>
      </c>
      <c r="I14" s="16"/>
      <c r="J14" s="16">
        <f t="shared" si="3"/>
        <v>490821.93439706153</v>
      </c>
      <c r="K14" s="16"/>
      <c r="L14" s="16">
        <f t="shared" si="4"/>
        <v>0</v>
      </c>
      <c r="M14" s="16"/>
      <c r="N14" s="19">
        <f t="shared" si="5"/>
        <v>490821.93439706153</v>
      </c>
      <c r="O14" s="13">
        <f t="shared" si="0"/>
        <v>316388.19518761261</v>
      </c>
      <c r="P14" s="10"/>
    </row>
    <row r="15" spans="1:16" x14ac:dyDescent="0.25">
      <c r="A15" s="22"/>
      <c r="B15" s="23" t="s">
        <v>23</v>
      </c>
      <c r="C15" s="30">
        <f>+C3/(C9-C12)</f>
        <v>18.099547511312217</v>
      </c>
      <c r="D15" s="24"/>
      <c r="E15" s="34"/>
      <c r="F15" s="9">
        <f t="shared" si="6"/>
        <v>10</v>
      </c>
      <c r="G15" s="16">
        <f t="shared" si="1"/>
        <v>597546.28431115544</v>
      </c>
      <c r="H15" s="16">
        <f t="shared" si="2"/>
        <v>-97857.988787193361</v>
      </c>
      <c r="I15" s="16"/>
      <c r="J15" s="16">
        <f t="shared" si="3"/>
        <v>499688.29552396206</v>
      </c>
      <c r="K15" s="16"/>
      <c r="L15" s="16">
        <f>-$C$6*$C$7-C6</f>
        <v>0</v>
      </c>
      <c r="M15" s="16">
        <f>+C4</f>
        <v>7967283.7908154046</v>
      </c>
      <c r="N15" s="19">
        <f t="shared" si="5"/>
        <v>8466972.0863393676</v>
      </c>
      <c r="O15" s="13">
        <f t="shared" si="0"/>
        <v>5197986.3811633922</v>
      </c>
      <c r="P15" s="10"/>
    </row>
    <row r="16" spans="1:16" x14ac:dyDescent="0.25">
      <c r="A16" s="22"/>
      <c r="B16" s="23"/>
      <c r="C16" s="31" t="s">
        <v>0</v>
      </c>
      <c r="D16" s="24"/>
      <c r="E16" s="34"/>
      <c r="F16" s="9"/>
      <c r="G16" s="16"/>
      <c r="H16" s="16"/>
      <c r="I16" s="16"/>
      <c r="J16" s="16"/>
      <c r="K16" s="16"/>
      <c r="L16" s="16"/>
      <c r="M16" s="16"/>
      <c r="N16" s="19"/>
      <c r="O16" s="13"/>
      <c r="P16" s="10"/>
    </row>
    <row r="17" spans="1:16" x14ac:dyDescent="0.25">
      <c r="A17" s="22"/>
      <c r="B17" s="23"/>
      <c r="C17" s="23"/>
      <c r="D17" s="24"/>
      <c r="E17" s="34"/>
      <c r="F17" s="9"/>
      <c r="G17" s="16"/>
      <c r="H17" s="16"/>
      <c r="I17" s="16"/>
      <c r="J17" s="16"/>
      <c r="K17" s="16"/>
      <c r="L17" s="16"/>
      <c r="M17" s="16"/>
      <c r="N17" s="19"/>
      <c r="O17" s="13"/>
      <c r="P17" s="10"/>
    </row>
    <row r="18" spans="1:16" x14ac:dyDescent="0.25">
      <c r="A18" s="22"/>
      <c r="B18" s="23" t="s">
        <v>28</v>
      </c>
      <c r="C18" s="23"/>
      <c r="D18" s="24"/>
      <c r="E18" s="34"/>
      <c r="F18" s="4"/>
      <c r="G18" s="8" t="s">
        <v>34</v>
      </c>
      <c r="H18" s="8" t="s">
        <v>33</v>
      </c>
      <c r="I18" s="8" t="s">
        <v>35</v>
      </c>
      <c r="J18" s="8" t="s">
        <v>36</v>
      </c>
      <c r="K18" s="8"/>
      <c r="L18" s="31"/>
      <c r="M18" s="31"/>
      <c r="N18" s="37"/>
      <c r="O18" s="37"/>
      <c r="P18" s="10"/>
    </row>
    <row r="19" spans="1:16" x14ac:dyDescent="0.25">
      <c r="A19" s="22"/>
      <c r="B19" s="23" t="s">
        <v>30</v>
      </c>
      <c r="C19" s="29">
        <f>SUM(O6:O15)</f>
        <v>8429204.2286055051</v>
      </c>
      <c r="D19" s="24"/>
      <c r="E19" s="34"/>
      <c r="F19" s="5" t="s">
        <v>0</v>
      </c>
      <c r="G19" s="5" t="s">
        <v>21</v>
      </c>
      <c r="H19" s="5" t="s">
        <v>32</v>
      </c>
      <c r="I19" s="5" t="s">
        <v>32</v>
      </c>
      <c r="J19" s="5" t="s">
        <v>32</v>
      </c>
      <c r="K19" s="5" t="s">
        <v>14</v>
      </c>
      <c r="L19" s="31"/>
      <c r="M19" s="38" t="s">
        <v>39</v>
      </c>
      <c r="N19" s="37"/>
      <c r="O19" s="37"/>
      <c r="P19" s="10"/>
    </row>
    <row r="20" spans="1:16" x14ac:dyDescent="0.25">
      <c r="A20" s="22"/>
      <c r="B20" s="23"/>
      <c r="C20" s="23"/>
      <c r="D20" s="24"/>
      <c r="E20" s="34"/>
      <c r="F20" s="17">
        <v>0</v>
      </c>
      <c r="G20" s="16">
        <f>+C3</f>
        <v>7692307.692307692</v>
      </c>
      <c r="H20" s="16"/>
      <c r="I20" s="16"/>
      <c r="J20" s="19"/>
      <c r="K20" s="36">
        <f>+C30</f>
        <v>6.5000000000000002E-2</v>
      </c>
      <c r="L20" s="31"/>
      <c r="M20" s="38"/>
      <c r="N20" s="37"/>
      <c r="O20" s="37"/>
      <c r="P20" s="10"/>
    </row>
    <row r="21" spans="1:16" x14ac:dyDescent="0.25">
      <c r="A21" s="22"/>
      <c r="B21" s="23" t="s">
        <v>24</v>
      </c>
      <c r="C21" s="23"/>
      <c r="D21" s="24"/>
      <c r="E21" s="34"/>
      <c r="F21" s="9">
        <f>+F20+1</f>
        <v>1</v>
      </c>
      <c r="G21" s="16">
        <f>+G6/K21</f>
        <v>7575757.5757575752</v>
      </c>
      <c r="H21" s="33">
        <f>+J6/G20</f>
        <v>5.525E-2</v>
      </c>
      <c r="I21" s="33">
        <f>(G21-G20)/G20</f>
        <v>-1.5151515151515185E-2</v>
      </c>
      <c r="J21" s="12">
        <f>+H21+I21</f>
        <v>4.0098484848484814E-2</v>
      </c>
      <c r="K21" s="12">
        <f>+K20+0.001</f>
        <v>6.6000000000000003E-2</v>
      </c>
      <c r="L21" s="31"/>
      <c r="M21" s="38" t="s">
        <v>42</v>
      </c>
      <c r="N21" s="37"/>
      <c r="O21" s="37"/>
      <c r="P21" s="10"/>
    </row>
    <row r="22" spans="1:16" x14ac:dyDescent="0.25">
      <c r="A22" s="22"/>
      <c r="B22" s="23" t="s">
        <v>30</v>
      </c>
      <c r="C22" s="29">
        <f>NPV(C28,N6:N15)+N5</f>
        <v>736896.53629780933</v>
      </c>
      <c r="D22" s="24"/>
      <c r="E22" s="34"/>
      <c r="F22" s="9">
        <f>+F21+1</f>
        <v>2</v>
      </c>
      <c r="G22" s="16">
        <f t="shared" ref="G22:G30" si="7">+G7/K22</f>
        <v>7611940.2985074623</v>
      </c>
      <c r="H22" s="33">
        <f t="shared" ref="H22:H30" si="8">+J7/G21</f>
        <v>5.7123000000000007E-2</v>
      </c>
      <c r="I22" s="33">
        <f t="shared" ref="I22:I30" si="9">(G22-G21)/G21</f>
        <v>4.7761194029850886E-3</v>
      </c>
      <c r="J22" s="12">
        <f t="shared" ref="J22:J30" si="10">+H22+I22</f>
        <v>6.1899119402985092E-2</v>
      </c>
      <c r="K22" s="12">
        <f t="shared" ref="K22:K30" si="11">+K21+0.001</f>
        <v>6.7000000000000004E-2</v>
      </c>
      <c r="L22" s="31"/>
      <c r="M22" s="38"/>
      <c r="N22" s="37"/>
      <c r="O22" s="37"/>
      <c r="P22" s="10"/>
    </row>
    <row r="23" spans="1:16" x14ac:dyDescent="0.25">
      <c r="A23" s="22"/>
      <c r="B23" s="23"/>
      <c r="C23" s="23"/>
      <c r="D23" s="24"/>
      <c r="E23" s="34"/>
      <c r="F23" s="9">
        <f t="shared" ref="F23:F30" si="12">+F22+1</f>
        <v>3</v>
      </c>
      <c r="G23" s="16">
        <f t="shared" si="7"/>
        <v>7649999.9999999991</v>
      </c>
      <c r="H23" s="33">
        <f t="shared" si="8"/>
        <v>5.7887014705882353E-2</v>
      </c>
      <c r="I23" s="33">
        <f t="shared" si="9"/>
        <v>4.9999999999999342E-3</v>
      </c>
      <c r="J23" s="12">
        <f t="shared" si="10"/>
        <v>6.2887014705882288E-2</v>
      </c>
      <c r="K23" s="12">
        <f t="shared" si="11"/>
        <v>6.8000000000000005E-2</v>
      </c>
      <c r="L23" s="31"/>
      <c r="M23" s="38" t="s">
        <v>40</v>
      </c>
      <c r="N23" s="37"/>
      <c r="O23" s="37"/>
      <c r="P23" s="10"/>
    </row>
    <row r="24" spans="1:16" x14ac:dyDescent="0.25">
      <c r="A24" s="22"/>
      <c r="B24" s="23" t="s">
        <v>15</v>
      </c>
      <c r="C24" s="23"/>
      <c r="D24" s="24"/>
      <c r="E24" s="34"/>
      <c r="F24" s="9">
        <f t="shared" si="12"/>
        <v>4</v>
      </c>
      <c r="G24" s="16">
        <f t="shared" si="7"/>
        <v>7689913.0434782598</v>
      </c>
      <c r="H24" s="33">
        <f t="shared" si="8"/>
        <v>5.8646990196078434E-2</v>
      </c>
      <c r="I24" s="33">
        <f t="shared" si="9"/>
        <v>5.2173913043478109E-3</v>
      </c>
      <c r="J24" s="12">
        <f t="shared" si="10"/>
        <v>6.386438150042624E-2</v>
      </c>
      <c r="K24" s="12">
        <f t="shared" si="11"/>
        <v>6.9000000000000006E-2</v>
      </c>
      <c r="L24" s="31"/>
      <c r="M24" s="31"/>
      <c r="N24" s="37"/>
      <c r="O24" s="37"/>
      <c r="P24" s="10"/>
    </row>
    <row r="25" spans="1:16" x14ac:dyDescent="0.25">
      <c r="A25" s="22"/>
      <c r="B25" s="23" t="s">
        <v>30</v>
      </c>
      <c r="C25" s="32">
        <f>IRR(N5:N15,C28)</f>
        <v>6.2148312406385964E-2</v>
      </c>
      <c r="D25" s="24"/>
      <c r="E25" s="34"/>
      <c r="F25" s="9">
        <f t="shared" si="12"/>
        <v>5</v>
      </c>
      <c r="G25" s="16">
        <f t="shared" si="7"/>
        <v>7731658.2857142845</v>
      </c>
      <c r="H25" s="33">
        <f t="shared" si="8"/>
        <v>5.9402871874787974E-2</v>
      </c>
      <c r="I25" s="33">
        <f t="shared" si="9"/>
        <v>5.4285714285714102E-3</v>
      </c>
      <c r="J25" s="12">
        <f t="shared" si="10"/>
        <v>6.4831443303359382E-2</v>
      </c>
      <c r="K25" s="12">
        <f t="shared" si="11"/>
        <v>7.0000000000000007E-2</v>
      </c>
      <c r="L25" s="31"/>
      <c r="M25" s="38" t="s">
        <v>41</v>
      </c>
      <c r="N25" s="37"/>
      <c r="O25" s="37"/>
      <c r="P25" s="10"/>
    </row>
    <row r="26" spans="1:16" x14ac:dyDescent="0.25">
      <c r="A26" s="22"/>
      <c r="B26" s="23"/>
      <c r="C26" s="23"/>
      <c r="D26" s="24"/>
      <c r="E26" s="34"/>
      <c r="F26" s="9">
        <f t="shared" si="12"/>
        <v>6</v>
      </c>
      <c r="G26" s="16">
        <f t="shared" si="7"/>
        <v>7775216.9239436612</v>
      </c>
      <c r="H26" s="33">
        <f t="shared" si="8"/>
        <v>6.0154604463941656E-2</v>
      </c>
      <c r="I26" s="33">
        <f t="shared" si="9"/>
        <v>5.6338028169014582E-3</v>
      </c>
      <c r="J26" s="12">
        <f t="shared" si="10"/>
        <v>6.578840728084312E-2</v>
      </c>
      <c r="K26" s="12">
        <f t="shared" si="11"/>
        <v>7.1000000000000008E-2</v>
      </c>
      <c r="L26" s="31"/>
      <c r="M26" s="31"/>
      <c r="N26" s="37"/>
      <c r="O26" s="37"/>
      <c r="P26" s="10"/>
    </row>
    <row r="27" spans="1:16" x14ac:dyDescent="0.25">
      <c r="A27" s="22"/>
      <c r="B27" s="23" t="s">
        <v>13</v>
      </c>
      <c r="C27" s="23"/>
      <c r="D27" s="24"/>
      <c r="E27" s="34"/>
      <c r="F27" s="9">
        <f t="shared" si="12"/>
        <v>7</v>
      </c>
      <c r="G27" s="16">
        <f t="shared" si="7"/>
        <v>7820572.3559999987</v>
      </c>
      <c r="H27" s="33">
        <f t="shared" si="8"/>
        <v>6.0902131995070767E-2</v>
      </c>
      <c r="I27" s="33">
        <f t="shared" si="9"/>
        <v>5.8333333333332781E-3</v>
      </c>
      <c r="J27" s="12">
        <f t="shared" si="10"/>
        <v>6.6735465328404048E-2</v>
      </c>
      <c r="K27" s="12">
        <f t="shared" si="11"/>
        <v>7.2000000000000008E-2</v>
      </c>
      <c r="L27" s="31"/>
      <c r="M27" s="38" t="s">
        <v>45</v>
      </c>
      <c r="N27" s="37"/>
      <c r="O27" s="37"/>
      <c r="P27" s="10"/>
    </row>
    <row r="28" spans="1:16" x14ac:dyDescent="0.25">
      <c r="A28" s="22"/>
      <c r="B28" s="23" t="s">
        <v>25</v>
      </c>
      <c r="C28" s="12">
        <v>0.05</v>
      </c>
      <c r="D28" s="24"/>
      <c r="E28" s="34"/>
      <c r="F28" s="9">
        <f t="shared" si="12"/>
        <v>8</v>
      </c>
      <c r="G28" s="16">
        <f t="shared" si="7"/>
        <v>7867710.0523923263</v>
      </c>
      <c r="H28" s="33">
        <f t="shared" si="8"/>
        <v>6.1645397801083232E-2</v>
      </c>
      <c r="I28" s="33">
        <f t="shared" si="9"/>
        <v>6.0273972602738176E-3</v>
      </c>
      <c r="J28" s="12">
        <f t="shared" si="10"/>
        <v>6.7672795061357052E-2</v>
      </c>
      <c r="K28" s="12">
        <f t="shared" si="11"/>
        <v>7.3000000000000009E-2</v>
      </c>
      <c r="L28" s="31"/>
      <c r="M28" s="31"/>
      <c r="N28" s="37"/>
      <c r="O28" s="37"/>
      <c r="P28" s="10"/>
    </row>
    <row r="29" spans="1:16" x14ac:dyDescent="0.25">
      <c r="A29" s="22"/>
      <c r="B29" s="23"/>
      <c r="C29" s="23"/>
      <c r="D29" s="24"/>
      <c r="E29" s="34"/>
      <c r="F29" s="9">
        <f t="shared" si="12"/>
        <v>9</v>
      </c>
      <c r="G29" s="16">
        <f t="shared" si="7"/>
        <v>7916617.4392044954</v>
      </c>
      <c r="H29" s="33">
        <f t="shared" si="8"/>
        <v>6.238434450794457E-2</v>
      </c>
      <c r="I29" s="33">
        <f t="shared" si="9"/>
        <v>6.2162162162162915E-3</v>
      </c>
      <c r="J29" s="12">
        <f t="shared" si="10"/>
        <v>6.8600560724160861E-2</v>
      </c>
      <c r="K29" s="12">
        <f t="shared" si="11"/>
        <v>7.400000000000001E-2</v>
      </c>
      <c r="L29" s="31"/>
      <c r="M29" s="38" t="s">
        <v>43</v>
      </c>
      <c r="N29" s="37"/>
      <c r="O29" s="37"/>
      <c r="P29" s="10"/>
    </row>
    <row r="30" spans="1:16" x14ac:dyDescent="0.25">
      <c r="A30" s="22"/>
      <c r="B30" s="23" t="s">
        <v>14</v>
      </c>
      <c r="C30" s="28">
        <v>6.5000000000000002E-2</v>
      </c>
      <c r="D30" s="24"/>
      <c r="E30" s="34"/>
      <c r="F30" s="9">
        <f t="shared" si="12"/>
        <v>10</v>
      </c>
      <c r="G30" s="16">
        <f t="shared" si="7"/>
        <v>7967283.7908154046</v>
      </c>
      <c r="H30" s="33">
        <f t="shared" si="8"/>
        <v>6.3118914026262893E-2</v>
      </c>
      <c r="I30" s="33">
        <f t="shared" si="9"/>
        <v>6.4000000000000567E-3</v>
      </c>
      <c r="J30" s="12">
        <f t="shared" si="10"/>
        <v>6.9518914026262951E-2</v>
      </c>
      <c r="K30" s="12">
        <f t="shared" si="11"/>
        <v>7.5000000000000011E-2</v>
      </c>
      <c r="L30" s="31"/>
      <c r="M30" s="31"/>
      <c r="N30" s="37"/>
      <c r="O30" s="37"/>
      <c r="P30" s="10"/>
    </row>
    <row r="31" spans="1:16" x14ac:dyDescent="0.25">
      <c r="A31" s="22"/>
      <c r="B31" s="23"/>
      <c r="C31" s="23"/>
      <c r="D31" s="24"/>
      <c r="E31" s="34"/>
      <c r="F31" s="9"/>
      <c r="G31" s="16"/>
      <c r="H31" s="16"/>
      <c r="I31" s="16"/>
      <c r="J31" s="19"/>
      <c r="K31" s="13"/>
      <c r="L31" s="31"/>
      <c r="M31" s="38" t="s">
        <v>44</v>
      </c>
      <c r="N31" s="37"/>
      <c r="O31" s="37"/>
      <c r="P31" s="10"/>
    </row>
    <row r="32" spans="1:16" x14ac:dyDescent="0.25">
      <c r="A32" s="22"/>
      <c r="B32" s="23"/>
      <c r="C32" s="23"/>
      <c r="D32" s="24"/>
      <c r="E32" s="34"/>
      <c r="F32" s="9"/>
      <c r="G32" s="17"/>
      <c r="H32" s="17"/>
      <c r="I32" s="17" t="s">
        <v>37</v>
      </c>
      <c r="J32" s="36">
        <f>SUM(J21:J30)/10</f>
        <v>6.3189658618216585E-2</v>
      </c>
      <c r="K32" s="9"/>
      <c r="L32" s="31"/>
      <c r="M32" s="31"/>
      <c r="N32" s="37"/>
      <c r="O32" s="37"/>
      <c r="P32" s="10"/>
    </row>
    <row r="33" spans="1:16" x14ac:dyDescent="0.25">
      <c r="A33" s="25"/>
      <c r="B33" s="26"/>
      <c r="C33" s="26"/>
      <c r="D33" s="27"/>
      <c r="E33" s="35"/>
      <c r="F33" s="14"/>
      <c r="G33" s="20"/>
      <c r="H33" s="21"/>
      <c r="I33" s="21"/>
      <c r="J33" s="21"/>
      <c r="K33" s="21"/>
      <c r="L33" s="21"/>
      <c r="M33" s="21"/>
      <c r="N33" s="14"/>
      <c r="O33" s="14"/>
      <c r="P33" s="15"/>
    </row>
    <row r="34" spans="1:16" x14ac:dyDescent="0.25">
      <c r="A34" s="9"/>
      <c r="B34" s="9"/>
      <c r="C34" s="9"/>
      <c r="D34" s="9"/>
      <c r="E34" s="9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kasstroom 10 jaar - oplossing</vt:lpstr>
      <vt:lpstr>kasstroom BAR - uitwerking</vt:lpstr>
      <vt:lpstr>kasstroom 10 jaar BAR - oplossi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Fieggen</dc:creator>
  <cp:lastModifiedBy>Wim Fieggen</cp:lastModifiedBy>
  <dcterms:created xsi:type="dcterms:W3CDTF">2016-10-23T07:49:41Z</dcterms:created>
  <dcterms:modified xsi:type="dcterms:W3CDTF">2017-02-13T22:08:25Z</dcterms:modified>
</cp:coreProperties>
</file>