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 Fieggen\Box Sync\1_Eendaagse_opleidingen\20171402_Basiscursus Vastgoedrekenen\Uitwerkingen\"/>
    </mc:Choice>
  </mc:AlternateContent>
  <bookViews>
    <workbookView xWindow="0" yWindow="0" windowWidth="28800" windowHeight="12135"/>
  </bookViews>
  <sheets>
    <sheet name="kasstroom 10 jaar" sheetId="1" r:id="rId1"/>
    <sheet name="kostprijs dekkende huur - uitw" sheetId="9" r:id="rId2"/>
    <sheet name="minimaal ben restwaarde - uitw" sheetId="10" r:id="rId3"/>
    <sheet name="max inflatie exploitat - uitw" sheetId="11" r:id="rId4"/>
    <sheet name="max rente op lening - uitw" sheetId="12" r:id="rId5"/>
    <sheet name="huur bij IRR 10% - uitw" sheetId="1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9" l="1"/>
  <c r="C19" i="10"/>
  <c r="C19" i="11"/>
  <c r="C19" i="12"/>
  <c r="C19" i="13"/>
  <c r="C30" i="13" l="1"/>
  <c r="M20" i="13"/>
  <c r="L15" i="13"/>
  <c r="C15" i="13"/>
  <c r="L14" i="13"/>
  <c r="L13" i="13"/>
  <c r="L12" i="13"/>
  <c r="L11" i="13"/>
  <c r="L10" i="13"/>
  <c r="L9" i="13"/>
  <c r="L8" i="13"/>
  <c r="L7" i="13"/>
  <c r="F7" i="13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L6" i="13"/>
  <c r="H6" i="13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G6" i="13"/>
  <c r="G7" i="13" s="1"/>
  <c r="F6" i="13"/>
  <c r="L5" i="13"/>
  <c r="K5" i="13"/>
  <c r="N5" i="13" s="1"/>
  <c r="C30" i="12"/>
  <c r="M20" i="12"/>
  <c r="L15" i="12"/>
  <c r="C15" i="12"/>
  <c r="L14" i="12"/>
  <c r="L13" i="12"/>
  <c r="L12" i="12"/>
  <c r="L11" i="12"/>
  <c r="L10" i="12"/>
  <c r="L9" i="12"/>
  <c r="L8" i="12"/>
  <c r="L7" i="12"/>
  <c r="G7" i="12"/>
  <c r="G8" i="12" s="1"/>
  <c r="L6" i="12"/>
  <c r="H6" i="12"/>
  <c r="H7" i="12" s="1"/>
  <c r="G6" i="12"/>
  <c r="J6" i="12" s="1"/>
  <c r="F6" i="12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L5" i="12"/>
  <c r="K5" i="12"/>
  <c r="N5" i="12" s="1"/>
  <c r="C30" i="11"/>
  <c r="M20" i="11"/>
  <c r="L20" i="11"/>
  <c r="L19" i="11"/>
  <c r="L18" i="11"/>
  <c r="L17" i="11"/>
  <c r="L16" i="11"/>
  <c r="L15" i="11"/>
  <c r="C15" i="11"/>
  <c r="L14" i="11"/>
  <c r="L13" i="11"/>
  <c r="L12" i="11"/>
  <c r="L11" i="11"/>
  <c r="L10" i="11"/>
  <c r="L9" i="11"/>
  <c r="L8" i="11"/>
  <c r="L7" i="1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F7" i="1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L6" i="11"/>
  <c r="H6" i="11"/>
  <c r="G6" i="11"/>
  <c r="J6" i="11" s="1"/>
  <c r="N6" i="11" s="1"/>
  <c r="O6" i="11" s="1"/>
  <c r="F6" i="11"/>
  <c r="L5" i="11"/>
  <c r="K5" i="11"/>
  <c r="N5" i="11" s="1"/>
  <c r="C30" i="10"/>
  <c r="M20" i="10"/>
  <c r="L20" i="10"/>
  <c r="L19" i="10"/>
  <c r="L18" i="10"/>
  <c r="L17" i="10"/>
  <c r="L16" i="10"/>
  <c r="L15" i="10"/>
  <c r="C15" i="10"/>
  <c r="L14" i="10"/>
  <c r="L13" i="10"/>
  <c r="L12" i="10"/>
  <c r="L11" i="10"/>
  <c r="L10" i="10"/>
  <c r="L9" i="10"/>
  <c r="L8" i="10"/>
  <c r="L7" i="10"/>
  <c r="H7" i="10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F7" i="10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L6" i="10"/>
  <c r="H6" i="10"/>
  <c r="G6" i="10"/>
  <c r="J6" i="10" s="1"/>
  <c r="N6" i="10" s="1"/>
  <c r="O6" i="10" s="1"/>
  <c r="F6" i="10"/>
  <c r="L5" i="10"/>
  <c r="K5" i="10"/>
  <c r="N5" i="10" s="1"/>
  <c r="C30" i="9"/>
  <c r="M20" i="9"/>
  <c r="L20" i="9"/>
  <c r="L19" i="9"/>
  <c r="L18" i="9"/>
  <c r="L17" i="9"/>
  <c r="L16" i="9"/>
  <c r="L15" i="9"/>
  <c r="C15" i="9"/>
  <c r="L14" i="9"/>
  <c r="L13" i="9"/>
  <c r="L12" i="9"/>
  <c r="L11" i="9"/>
  <c r="L10" i="9"/>
  <c r="L9" i="9"/>
  <c r="L8" i="9"/>
  <c r="L7" i="9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F7" i="9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L6" i="9"/>
  <c r="H6" i="9"/>
  <c r="G6" i="9"/>
  <c r="J6" i="9" s="1"/>
  <c r="N6" i="9" s="1"/>
  <c r="O6" i="9" s="1"/>
  <c r="F6" i="9"/>
  <c r="L5" i="9"/>
  <c r="N5" i="9" s="1"/>
  <c r="K5" i="9"/>
  <c r="G8" i="13" l="1"/>
  <c r="J7" i="13"/>
  <c r="N7" i="13" s="1"/>
  <c r="O7" i="13" s="1"/>
  <c r="O5" i="13"/>
  <c r="J6" i="13"/>
  <c r="N6" i="13" s="1"/>
  <c r="O6" i="13" s="1"/>
  <c r="N6" i="12"/>
  <c r="O6" i="12" s="1"/>
  <c r="H8" i="12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J7" i="12"/>
  <c r="N7" i="12" s="1"/>
  <c r="O7" i="12" s="1"/>
  <c r="G9" i="12"/>
  <c r="O5" i="12"/>
  <c r="O5" i="11"/>
  <c r="G7" i="11"/>
  <c r="O5" i="10"/>
  <c r="G7" i="10"/>
  <c r="O5" i="9"/>
  <c r="G7" i="9"/>
  <c r="J8" i="13" l="1"/>
  <c r="N8" i="13" s="1"/>
  <c r="G9" i="13"/>
  <c r="J9" i="12"/>
  <c r="N9" i="12" s="1"/>
  <c r="O9" i="12" s="1"/>
  <c r="G10" i="12"/>
  <c r="J8" i="12"/>
  <c r="N8" i="12" s="1"/>
  <c r="J7" i="11"/>
  <c r="N7" i="11" s="1"/>
  <c r="G8" i="11"/>
  <c r="J7" i="10"/>
  <c r="N7" i="10" s="1"/>
  <c r="G8" i="10"/>
  <c r="G8" i="9"/>
  <c r="J7" i="9"/>
  <c r="N7" i="9" s="1"/>
  <c r="J9" i="13" l="1"/>
  <c r="N9" i="13" s="1"/>
  <c r="G10" i="13"/>
  <c r="O8" i="13"/>
  <c r="O8" i="12"/>
  <c r="J10" i="12"/>
  <c r="N10" i="12" s="1"/>
  <c r="G11" i="12"/>
  <c r="G9" i="11"/>
  <c r="J8" i="11"/>
  <c r="N8" i="11" s="1"/>
  <c r="O8" i="11" s="1"/>
  <c r="O7" i="11"/>
  <c r="G9" i="10"/>
  <c r="J8" i="10"/>
  <c r="N8" i="10" s="1"/>
  <c r="O8" i="10" s="1"/>
  <c r="O7" i="10"/>
  <c r="G9" i="9"/>
  <c r="J8" i="9"/>
  <c r="N8" i="9" s="1"/>
  <c r="O8" i="9" s="1"/>
  <c r="O7" i="9"/>
  <c r="O9" i="13" l="1"/>
  <c r="J10" i="13"/>
  <c r="N10" i="13" s="1"/>
  <c r="G11" i="13"/>
  <c r="J11" i="12"/>
  <c r="N11" i="12" s="1"/>
  <c r="G12" i="12"/>
  <c r="O10" i="12"/>
  <c r="J9" i="11"/>
  <c r="N9" i="11" s="1"/>
  <c r="G10" i="11"/>
  <c r="G10" i="10"/>
  <c r="J9" i="10"/>
  <c r="N9" i="10" s="1"/>
  <c r="G10" i="9"/>
  <c r="J9" i="9"/>
  <c r="N9" i="9" s="1"/>
  <c r="O9" i="9" s="1"/>
  <c r="J11" i="13" l="1"/>
  <c r="N11" i="13" s="1"/>
  <c r="O11" i="13" s="1"/>
  <c r="G12" i="13"/>
  <c r="O10" i="13"/>
  <c r="J12" i="12"/>
  <c r="N12" i="12" s="1"/>
  <c r="G13" i="12"/>
  <c r="O11" i="12"/>
  <c r="O9" i="11"/>
  <c r="G11" i="11"/>
  <c r="J10" i="11"/>
  <c r="N10" i="11" s="1"/>
  <c r="O10" i="11" s="1"/>
  <c r="G11" i="10"/>
  <c r="J10" i="10"/>
  <c r="N10" i="10" s="1"/>
  <c r="O10" i="10" s="1"/>
  <c r="O9" i="10"/>
  <c r="G11" i="9"/>
  <c r="J10" i="9"/>
  <c r="N10" i="9" s="1"/>
  <c r="O10" i="9" s="1"/>
  <c r="J12" i="13" l="1"/>
  <c r="N12" i="13" s="1"/>
  <c r="G13" i="13"/>
  <c r="G14" i="12"/>
  <c r="J13" i="12"/>
  <c r="N13" i="12" s="1"/>
  <c r="O12" i="12"/>
  <c r="J11" i="11"/>
  <c r="N11" i="11" s="1"/>
  <c r="G12" i="11"/>
  <c r="J11" i="10"/>
  <c r="N11" i="10" s="1"/>
  <c r="G12" i="10"/>
  <c r="J11" i="9"/>
  <c r="N11" i="9" s="1"/>
  <c r="G12" i="9"/>
  <c r="G14" i="13" l="1"/>
  <c r="J13" i="13"/>
  <c r="N13" i="13" s="1"/>
  <c r="O12" i="13"/>
  <c r="O13" i="12"/>
  <c r="G15" i="12"/>
  <c r="J14" i="12"/>
  <c r="N14" i="12" s="1"/>
  <c r="O11" i="11"/>
  <c r="G13" i="11"/>
  <c r="J12" i="11"/>
  <c r="N12" i="11" s="1"/>
  <c r="O12" i="11" s="1"/>
  <c r="O11" i="10"/>
  <c r="J12" i="10"/>
  <c r="N12" i="10" s="1"/>
  <c r="O12" i="10" s="1"/>
  <c r="G13" i="10"/>
  <c r="J12" i="9"/>
  <c r="N12" i="9" s="1"/>
  <c r="O12" i="9" s="1"/>
  <c r="G13" i="9"/>
  <c r="O11" i="9"/>
  <c r="O13" i="13" l="1"/>
  <c r="G15" i="13"/>
  <c r="J14" i="13"/>
  <c r="N14" i="13" s="1"/>
  <c r="O14" i="13" s="1"/>
  <c r="G16" i="12"/>
  <c r="J15" i="12"/>
  <c r="N15" i="12" s="1"/>
  <c r="O14" i="12"/>
  <c r="J13" i="11"/>
  <c r="N13" i="11" s="1"/>
  <c r="O13" i="11" s="1"/>
  <c r="G14" i="11"/>
  <c r="J13" i="10"/>
  <c r="N13" i="10" s="1"/>
  <c r="G14" i="10"/>
  <c r="J13" i="9"/>
  <c r="N13" i="9" s="1"/>
  <c r="O13" i="9" s="1"/>
  <c r="G14" i="9"/>
  <c r="G16" i="13" l="1"/>
  <c r="J15" i="13"/>
  <c r="N15" i="13" s="1"/>
  <c r="O15" i="13" s="1"/>
  <c r="O15" i="12"/>
  <c r="G17" i="12"/>
  <c r="J16" i="12"/>
  <c r="N16" i="12" s="1"/>
  <c r="O16" i="12" s="1"/>
  <c r="J14" i="11"/>
  <c r="N14" i="11" s="1"/>
  <c r="O14" i="11" s="1"/>
  <c r="G15" i="11"/>
  <c r="O13" i="10"/>
  <c r="J14" i="10"/>
  <c r="N14" i="10" s="1"/>
  <c r="O14" i="10" s="1"/>
  <c r="G15" i="10"/>
  <c r="G15" i="9"/>
  <c r="J14" i="9"/>
  <c r="N14" i="9" s="1"/>
  <c r="O14" i="9" s="1"/>
  <c r="G17" i="13" l="1"/>
  <c r="J16" i="13"/>
  <c r="N16" i="13" s="1"/>
  <c r="O16" i="13" s="1"/>
  <c r="J17" i="12"/>
  <c r="N17" i="12" s="1"/>
  <c r="O17" i="12" s="1"/>
  <c r="G18" i="12"/>
  <c r="J15" i="11"/>
  <c r="N15" i="11" s="1"/>
  <c r="O15" i="11" s="1"/>
  <c r="G16" i="11"/>
  <c r="J15" i="10"/>
  <c r="N15" i="10" s="1"/>
  <c r="O15" i="10" s="1"/>
  <c r="G16" i="10"/>
  <c r="J15" i="9"/>
  <c r="N15" i="9" s="1"/>
  <c r="O15" i="9" s="1"/>
  <c r="G16" i="9"/>
  <c r="J17" i="13" l="1"/>
  <c r="N17" i="13" s="1"/>
  <c r="O17" i="13" s="1"/>
  <c r="G18" i="13"/>
  <c r="J18" i="12"/>
  <c r="N18" i="12" s="1"/>
  <c r="O18" i="12" s="1"/>
  <c r="G19" i="12"/>
  <c r="J16" i="11"/>
  <c r="N16" i="11" s="1"/>
  <c r="O16" i="11" s="1"/>
  <c r="G17" i="11"/>
  <c r="J16" i="10"/>
  <c r="N16" i="10" s="1"/>
  <c r="O16" i="10" s="1"/>
  <c r="G17" i="10"/>
  <c r="J16" i="9"/>
  <c r="N16" i="9" s="1"/>
  <c r="O16" i="9" s="1"/>
  <c r="G17" i="9"/>
  <c r="J18" i="13" l="1"/>
  <c r="N18" i="13" s="1"/>
  <c r="O18" i="13" s="1"/>
  <c r="G19" i="13"/>
  <c r="G20" i="12"/>
  <c r="J20" i="12" s="1"/>
  <c r="N20" i="12" s="1"/>
  <c r="J19" i="12"/>
  <c r="N19" i="12" s="1"/>
  <c r="O19" i="12" s="1"/>
  <c r="G18" i="11"/>
  <c r="J17" i="11"/>
  <c r="N17" i="11" s="1"/>
  <c r="O17" i="11" s="1"/>
  <c r="G18" i="10"/>
  <c r="J17" i="10"/>
  <c r="N17" i="10" s="1"/>
  <c r="O17" i="10" s="1"/>
  <c r="G18" i="9"/>
  <c r="J17" i="9"/>
  <c r="N17" i="9" s="1"/>
  <c r="O17" i="9" s="1"/>
  <c r="G20" i="13" l="1"/>
  <c r="J20" i="13" s="1"/>
  <c r="N20" i="13" s="1"/>
  <c r="J19" i="13"/>
  <c r="N19" i="13" s="1"/>
  <c r="O19" i="13" s="1"/>
  <c r="O20" i="12"/>
  <c r="C25" i="12"/>
  <c r="C22" i="12"/>
  <c r="G19" i="11"/>
  <c r="J18" i="11"/>
  <c r="N18" i="11" s="1"/>
  <c r="O18" i="11" s="1"/>
  <c r="G19" i="10"/>
  <c r="J18" i="10"/>
  <c r="N18" i="10" s="1"/>
  <c r="O18" i="10" s="1"/>
  <c r="G19" i="9"/>
  <c r="J18" i="9"/>
  <c r="N18" i="9" s="1"/>
  <c r="O18" i="9" s="1"/>
  <c r="O20" i="13" l="1"/>
  <c r="C25" i="13"/>
  <c r="C22" i="13"/>
  <c r="G20" i="11"/>
  <c r="J20" i="11" s="1"/>
  <c r="N20" i="11" s="1"/>
  <c r="J19" i="11"/>
  <c r="N19" i="11" s="1"/>
  <c r="O19" i="11" s="1"/>
  <c r="G20" i="10"/>
  <c r="J20" i="10" s="1"/>
  <c r="N20" i="10" s="1"/>
  <c r="J19" i="10"/>
  <c r="N19" i="10" s="1"/>
  <c r="O19" i="10" s="1"/>
  <c r="G20" i="9"/>
  <c r="J20" i="9" s="1"/>
  <c r="N20" i="9" s="1"/>
  <c r="J19" i="9"/>
  <c r="N19" i="9" s="1"/>
  <c r="O19" i="9" s="1"/>
  <c r="O20" i="11" l="1"/>
  <c r="C25" i="11"/>
  <c r="C22" i="11"/>
  <c r="O20" i="10"/>
  <c r="C25" i="10"/>
  <c r="C22" i="10"/>
  <c r="O20" i="9"/>
  <c r="C22" i="9"/>
  <c r="C25" i="9"/>
  <c r="M15" i="1" l="1"/>
  <c r="L15" i="1"/>
  <c r="C15" i="1" l="1"/>
  <c r="L7" i="1"/>
  <c r="L8" i="1"/>
  <c r="L9" i="1"/>
  <c r="L10" i="1"/>
  <c r="L11" i="1"/>
  <c r="L12" i="1"/>
  <c r="L13" i="1"/>
  <c r="L14" i="1"/>
  <c r="L6" i="1"/>
  <c r="L5" i="1" l="1"/>
  <c r="K5" i="1" l="1"/>
  <c r="N5" i="1" s="1"/>
  <c r="F6" i="1"/>
  <c r="H6" i="1"/>
  <c r="H7" i="1" s="1"/>
  <c r="C30" i="1"/>
  <c r="G6" i="1"/>
  <c r="O5" i="1" l="1"/>
  <c r="J6" i="1"/>
  <c r="G7" i="1"/>
  <c r="G8" i="1" s="1"/>
  <c r="H8" i="1"/>
  <c r="N6" i="1" l="1"/>
  <c r="J7" i="1"/>
  <c r="N7" i="1" s="1"/>
  <c r="H9" i="1"/>
  <c r="J8" i="1"/>
  <c r="N8" i="1" s="1"/>
  <c r="G9" i="1"/>
  <c r="G10" i="1" s="1"/>
  <c r="G11" i="1" s="1"/>
  <c r="H10" i="1" l="1"/>
  <c r="J9" i="1"/>
  <c r="N9" i="1" s="1"/>
  <c r="G12" i="1"/>
  <c r="G13" i="1" s="1"/>
  <c r="H11" i="1" l="1"/>
  <c r="J10" i="1"/>
  <c r="N10" i="1" s="1"/>
  <c r="G14" i="1"/>
  <c r="G15" i="1" s="1"/>
  <c r="H12" i="1" l="1"/>
  <c r="J11" i="1"/>
  <c r="N11" i="1" s="1"/>
  <c r="H13" i="1" l="1"/>
  <c r="J12" i="1"/>
  <c r="N12" i="1" s="1"/>
  <c r="J13" i="1" l="1"/>
  <c r="N13" i="1" s="1"/>
  <c r="H14" i="1"/>
  <c r="H15" i="1" s="1"/>
  <c r="J15" i="1" l="1"/>
  <c r="N15" i="1" s="1"/>
  <c r="J14" i="1"/>
  <c r="F7" i="1" l="1"/>
  <c r="O6" i="1"/>
  <c r="F8" i="1" l="1"/>
  <c r="O7" i="1"/>
  <c r="F9" i="1" l="1"/>
  <c r="O8" i="1"/>
  <c r="F10" i="1" l="1"/>
  <c r="O9" i="1"/>
  <c r="F11" i="1" l="1"/>
  <c r="O10" i="1"/>
  <c r="F12" i="1" l="1"/>
  <c r="O11" i="1"/>
  <c r="F13" i="1" l="1"/>
  <c r="O12" i="1"/>
  <c r="F14" i="1" l="1"/>
  <c r="F15" i="1" s="1"/>
  <c r="O13" i="1"/>
  <c r="O15" i="1" l="1"/>
  <c r="N14" i="1"/>
  <c r="C22" i="1" l="1"/>
  <c r="C25" i="1"/>
  <c r="O14" i="1"/>
  <c r="C19" i="1" s="1"/>
</calcChain>
</file>

<file path=xl/sharedStrings.xml><?xml version="1.0" encoding="utf-8"?>
<sst xmlns="http://schemas.openxmlformats.org/spreadsheetml/2006/main" count="271" uniqueCount="47">
  <si>
    <t>jaar</t>
  </si>
  <si>
    <t>exploitatiekosten</t>
  </si>
  <si>
    <t>exploitatie</t>
  </si>
  <si>
    <t>kosten</t>
  </si>
  <si>
    <t>groot</t>
  </si>
  <si>
    <t>onderhoud</t>
  </si>
  <si>
    <t>restwaarde</t>
  </si>
  <si>
    <t>investering</t>
  </si>
  <si>
    <t>saldo</t>
  </si>
  <si>
    <t>netto</t>
  </si>
  <si>
    <t>opbrengsten</t>
  </si>
  <si>
    <t>inflatie</t>
  </si>
  <si>
    <t>indexering</t>
  </si>
  <si>
    <t>WACC/</t>
  </si>
  <si>
    <t>BAR</t>
  </si>
  <si>
    <t>IRR</t>
  </si>
  <si>
    <t>totale investering</t>
  </si>
  <si>
    <t>(huur)</t>
  </si>
  <si>
    <t>(huur) opbrengsten</t>
  </si>
  <si>
    <t>Kasstroomschema</t>
  </si>
  <si>
    <t>huidige</t>
  </si>
  <si>
    <t>waarde</t>
  </si>
  <si>
    <t>Gegevens / Berekeningen</t>
  </si>
  <si>
    <t>Terugverdientijd</t>
  </si>
  <si>
    <t>Netto contante waarde</t>
  </si>
  <si>
    <t>Discontovoet</t>
  </si>
  <si>
    <t>financiering</t>
  </si>
  <si>
    <t>rentepercentage</t>
  </si>
  <si>
    <t>Som huidige waarde</t>
  </si>
  <si>
    <t>restwaarde na 10 jaar</t>
  </si>
  <si>
    <t>10 jaar</t>
  </si>
  <si>
    <t>lening</t>
  </si>
  <si>
    <t>restwaarde na 15 jaar</t>
  </si>
  <si>
    <t>15 jaar</t>
  </si>
  <si>
    <t>Doelzoeken</t>
  </si>
  <si>
    <t>De functie "doelzoeken" is te vinden in het tabblad gegevens onder "Wat-als-analyse"</t>
  </si>
  <si>
    <t xml:space="preserve">Cel instellen:  </t>
  </si>
  <si>
    <t>netto contante waarde</t>
  </si>
  <si>
    <t>Op waarde:</t>
  </si>
  <si>
    <t>netto contante waarde = 0</t>
  </si>
  <si>
    <t>Door wijzigen van cel:</t>
  </si>
  <si>
    <t>Selecteer doelzoeken</t>
  </si>
  <si>
    <t>Kostprijsdekkende huur</t>
  </si>
  <si>
    <t>inflatie exploitatie</t>
  </si>
  <si>
    <t>rentepercentage lening</t>
  </si>
  <si>
    <t>IRR = 10%</t>
  </si>
  <si>
    <t>(huur)opbrengsten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</si>
</sst>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166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0" fillId="2" borderId="2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2" borderId="8" xfId="0" applyFill="1" applyBorder="1"/>
    <xf numFmtId="166" fontId="0" fillId="2" borderId="0" xfId="1" applyNumberFormat="1" applyFont="1" applyFill="1" applyBorder="1"/>
    <xf numFmtId="164" fontId="0" fillId="2" borderId="0" xfId="2" applyNumberFormat="1" applyFont="1" applyFill="1" applyBorder="1"/>
    <xf numFmtId="6" fontId="0" fillId="2" borderId="0" xfId="0" applyNumberFormat="1" applyFill="1" applyBorder="1"/>
    <xf numFmtId="0" fontId="0" fillId="2" borderId="10" xfId="0" applyFill="1" applyBorder="1"/>
    <xf numFmtId="0" fontId="0" fillId="2" borderId="4" xfId="0" applyFill="1" applyBorder="1"/>
    <xf numFmtId="166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/>
    <xf numFmtId="166" fontId="0" fillId="2" borderId="10" xfId="1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164" fontId="0" fillId="3" borderId="0" xfId="2" applyNumberFormat="1" applyFont="1" applyFill="1" applyBorder="1"/>
    <xf numFmtId="6" fontId="0" fillId="3" borderId="0" xfId="0" applyNumberFormat="1" applyFill="1" applyBorder="1"/>
    <xf numFmtId="165" fontId="0" fillId="3" borderId="0" xfId="1" applyNumberFormat="1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/>
    <xf numFmtId="166" fontId="0" fillId="4" borderId="0" xfId="1" applyNumberFormat="1" applyFont="1" applyFill="1" applyBorder="1" applyAlignment="1">
      <alignment horizontal="right"/>
    </xf>
    <xf numFmtId="166" fontId="0" fillId="4" borderId="0" xfId="0" applyNumberFormat="1" applyFill="1" applyBorder="1"/>
    <xf numFmtId="6" fontId="0" fillId="4" borderId="0" xfId="0" applyNumberFormat="1" applyFill="1" applyBorder="1"/>
    <xf numFmtId="166" fontId="0" fillId="4" borderId="0" xfId="1" applyNumberFormat="1" applyFont="1" applyFill="1" applyBorder="1" applyAlignment="1">
      <alignment horizontal="left"/>
    </xf>
    <xf numFmtId="166" fontId="0" fillId="6" borderId="0" xfId="1" applyNumberFormat="1" applyFont="1" applyFill="1" applyBorder="1" applyAlignment="1">
      <alignment horizontal="right"/>
    </xf>
    <xf numFmtId="6" fontId="0" fillId="6" borderId="0" xfId="0" applyNumberFormat="1" applyFill="1" applyBorder="1"/>
    <xf numFmtId="166" fontId="0" fillId="7" borderId="0" xfId="1" applyNumberFormat="1" applyFont="1" applyFill="1" applyBorder="1" applyAlignment="1">
      <alignment horizontal="right"/>
    </xf>
    <xf numFmtId="166" fontId="0" fillId="7" borderId="0" xfId="1" applyNumberFormat="1" applyFont="1" applyFill="1" applyBorder="1"/>
    <xf numFmtId="166" fontId="3" fillId="4" borderId="0" xfId="1" applyNumberFormat="1" applyFont="1" applyFill="1" applyBorder="1" applyAlignment="1">
      <alignment horizontal="left"/>
    </xf>
    <xf numFmtId="164" fontId="0" fillId="7" borderId="0" xfId="2" applyNumberFormat="1" applyFont="1" applyFill="1" applyBorder="1"/>
    <xf numFmtId="164" fontId="0" fillId="6" borderId="0" xfId="0" applyNumberFormat="1" applyFill="1" applyBorder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sqref="A1:D1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6" t="s">
        <v>22</v>
      </c>
      <c r="B1" s="47"/>
      <c r="C1" s="47"/>
      <c r="D1" s="48"/>
      <c r="E1" s="46" t="s">
        <v>19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7500000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29</v>
      </c>
      <c r="C4" s="13">
        <v>6500000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-7500000</v>
      </c>
      <c r="L5" s="20">
        <f>+C6</f>
        <v>0</v>
      </c>
      <c r="M5" s="19"/>
      <c r="N5" s="21">
        <f>SUM(J5:M5)</f>
        <v>-7500000</v>
      </c>
      <c r="O5" s="15">
        <f t="shared" ref="O5:O15" si="0">+N5/(1+$C$28)^F5</f>
        <v>-7500000</v>
      </c>
      <c r="P5" s="12"/>
    </row>
    <row r="6" spans="1:16" x14ac:dyDescent="0.25">
      <c r="A6" s="24"/>
      <c r="B6" s="25" t="s">
        <v>31</v>
      </c>
      <c r="C6" s="13"/>
      <c r="D6" s="26"/>
      <c r="E6" s="11"/>
      <c r="F6" s="11">
        <f>+F5+1</f>
        <v>1</v>
      </c>
      <c r="G6" s="18">
        <f>+C9</f>
        <v>734326.53060827521</v>
      </c>
      <c r="H6" s="18">
        <f>-C12</f>
        <v>-150000</v>
      </c>
      <c r="I6" s="18"/>
      <c r="J6" s="18">
        <f>SUM(G6:I6)</f>
        <v>584326.53060827521</v>
      </c>
      <c r="K6" s="18"/>
      <c r="L6" s="18">
        <f>-$C$6*$C$7</f>
        <v>0</v>
      </c>
      <c r="M6" s="18"/>
      <c r="N6" s="21">
        <f>SUM(J6:M6)</f>
        <v>584326.53060827521</v>
      </c>
      <c r="O6" s="15">
        <f t="shared" si="0"/>
        <v>556501.45772216679</v>
      </c>
      <c r="P6" s="12"/>
    </row>
    <row r="7" spans="1:16" x14ac:dyDescent="0.25">
      <c r="A7" s="24"/>
      <c r="B7" s="25" t="s">
        <v>27</v>
      </c>
      <c r="C7" s="14"/>
      <c r="D7" s="26"/>
      <c r="E7" s="11"/>
      <c r="F7" s="11">
        <f>+F6+1</f>
        <v>2</v>
      </c>
      <c r="G7" s="18">
        <f t="shared" ref="G7:G15" si="1">+G6*(1+$C$10)</f>
        <v>749013.06122044078</v>
      </c>
      <c r="H7" s="18">
        <f t="shared" ref="H7:H15" si="2">+H6*(1+$C$13)</f>
        <v>-154500</v>
      </c>
      <c r="I7" s="18"/>
      <c r="J7" s="18">
        <f t="shared" ref="J7:J15" si="3">SUM(G7:I7)</f>
        <v>594513.06122044078</v>
      </c>
      <c r="K7" s="18"/>
      <c r="L7" s="18">
        <f t="shared" ref="L7:L14" si="4">-$C$6*$C$7</f>
        <v>0</v>
      </c>
      <c r="M7" s="18"/>
      <c r="N7" s="21">
        <f t="shared" ref="N7:N15" si="5">SUM(J7:M7)</f>
        <v>594513.06122044078</v>
      </c>
      <c r="O7" s="15">
        <f t="shared" si="0"/>
        <v>539240.87185527512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15" si="6">+F7+1</f>
        <v>3</v>
      </c>
      <c r="G8" s="18">
        <f t="shared" si="1"/>
        <v>763993.32244484965</v>
      </c>
      <c r="H8" s="18">
        <f t="shared" si="2"/>
        <v>-159135</v>
      </c>
      <c r="I8" s="18">
        <v>-250000</v>
      </c>
      <c r="J8" s="18">
        <f t="shared" si="3"/>
        <v>354858.32244484965</v>
      </c>
      <c r="K8" s="18"/>
      <c r="L8" s="18">
        <f t="shared" si="4"/>
        <v>0</v>
      </c>
      <c r="M8" s="18"/>
      <c r="N8" s="21">
        <f t="shared" si="5"/>
        <v>354858.32244484965</v>
      </c>
      <c r="O8" s="15">
        <f t="shared" si="0"/>
        <v>306539.96107966709</v>
      </c>
      <c r="P8" s="12"/>
    </row>
    <row r="9" spans="1:16" x14ac:dyDescent="0.25">
      <c r="A9" s="24"/>
      <c r="B9" s="25" t="s">
        <v>18</v>
      </c>
      <c r="C9" s="42">
        <v>734326.53060827521</v>
      </c>
      <c r="D9" s="26"/>
      <c r="E9" s="11"/>
      <c r="F9" s="11">
        <f t="shared" si="6"/>
        <v>4</v>
      </c>
      <c r="G9" s="18">
        <f t="shared" si="1"/>
        <v>779273.1888937467</v>
      </c>
      <c r="H9" s="18">
        <f t="shared" si="2"/>
        <v>-163909.05000000002</v>
      </c>
      <c r="I9" s="18"/>
      <c r="J9" s="18">
        <f t="shared" si="3"/>
        <v>615364.13889374665</v>
      </c>
      <c r="K9" s="18"/>
      <c r="L9" s="18">
        <f t="shared" si="4"/>
        <v>0</v>
      </c>
      <c r="M9" s="18"/>
      <c r="N9" s="21">
        <f t="shared" si="5"/>
        <v>615364.13889374665</v>
      </c>
      <c r="O9" s="15">
        <f t="shared" si="0"/>
        <v>506261.59996606078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794858.65267162165</v>
      </c>
      <c r="H10" s="18">
        <f t="shared" si="2"/>
        <v>-168826.32150000002</v>
      </c>
      <c r="I10" s="18">
        <v>-1000000</v>
      </c>
      <c r="J10" s="18">
        <f t="shared" si="3"/>
        <v>-373967.66882837843</v>
      </c>
      <c r="K10" s="18"/>
      <c r="L10" s="18">
        <f t="shared" si="4"/>
        <v>0</v>
      </c>
      <c r="M10" s="18"/>
      <c r="N10" s="21">
        <f t="shared" si="5"/>
        <v>-373967.66882837843</v>
      </c>
      <c r="O10" s="15">
        <f t="shared" si="0"/>
        <v>-293013.45394024556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810755.82572505414</v>
      </c>
      <c r="H11" s="18">
        <f t="shared" si="2"/>
        <v>-173891.11114500003</v>
      </c>
      <c r="I11" s="18"/>
      <c r="J11" s="18">
        <f t="shared" si="3"/>
        <v>636864.71458005416</v>
      </c>
      <c r="K11" s="18"/>
      <c r="L11" s="18">
        <f t="shared" si="4"/>
        <v>0</v>
      </c>
      <c r="M11" s="18"/>
      <c r="N11" s="21">
        <f t="shared" si="5"/>
        <v>636864.71458005416</v>
      </c>
      <c r="O11" s="15">
        <f t="shared" si="0"/>
        <v>475238.25559422781</v>
      </c>
      <c r="P11" s="12"/>
    </row>
    <row r="12" spans="1:16" x14ac:dyDescent="0.25">
      <c r="A12" s="24"/>
      <c r="B12" s="25" t="s">
        <v>1</v>
      </c>
      <c r="C12" s="13">
        <v>150000</v>
      </c>
      <c r="D12" s="26"/>
      <c r="E12" s="11"/>
      <c r="F12" s="11">
        <f t="shared" si="6"/>
        <v>7</v>
      </c>
      <c r="G12" s="18">
        <f t="shared" si="1"/>
        <v>826970.94223955518</v>
      </c>
      <c r="H12" s="18">
        <f t="shared" si="2"/>
        <v>-179107.84447935002</v>
      </c>
      <c r="I12" s="18"/>
      <c r="J12" s="18">
        <f t="shared" si="3"/>
        <v>647863.09776020516</v>
      </c>
      <c r="K12" s="18"/>
      <c r="L12" s="18">
        <f t="shared" si="4"/>
        <v>0</v>
      </c>
      <c r="M12" s="18"/>
      <c r="N12" s="21">
        <f t="shared" si="5"/>
        <v>647863.09776020516</v>
      </c>
      <c r="O12" s="15">
        <f t="shared" si="0"/>
        <v>460424.2080584435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843510.36108434631</v>
      </c>
      <c r="H13" s="18">
        <f t="shared" si="2"/>
        <v>-184481.07981373052</v>
      </c>
      <c r="I13" s="18">
        <v>-500000</v>
      </c>
      <c r="J13" s="18">
        <f t="shared" si="3"/>
        <v>159029.28127061576</v>
      </c>
      <c r="K13" s="18"/>
      <c r="L13" s="18">
        <f t="shared" si="4"/>
        <v>0</v>
      </c>
      <c r="M13" s="18"/>
      <c r="N13" s="21">
        <f t="shared" si="5"/>
        <v>159029.28127061576</v>
      </c>
      <c r="O13" s="15">
        <f t="shared" si="0"/>
        <v>107637.27727908421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860380.56830603327</v>
      </c>
      <c r="H14" s="18">
        <f t="shared" si="2"/>
        <v>-190015.51220814243</v>
      </c>
      <c r="I14" s="18"/>
      <c r="J14" s="18">
        <f t="shared" si="3"/>
        <v>670365.05609789083</v>
      </c>
      <c r="K14" s="18"/>
      <c r="L14" s="18">
        <f t="shared" si="4"/>
        <v>0</v>
      </c>
      <c r="M14" s="18"/>
      <c r="N14" s="21">
        <f t="shared" si="5"/>
        <v>670365.05609789083</v>
      </c>
      <c r="O14" s="15">
        <f t="shared" si="0"/>
        <v>432123.2922815443</v>
      </c>
      <c r="P14" s="12"/>
    </row>
    <row r="15" spans="1:16" x14ac:dyDescent="0.25">
      <c r="A15" s="24"/>
      <c r="B15" s="25" t="s">
        <v>23</v>
      </c>
      <c r="C15" s="32">
        <f>+C3/(C9-C12)</f>
        <v>12.83528918701092</v>
      </c>
      <c r="D15" s="26"/>
      <c r="E15" s="11"/>
      <c r="F15" s="11">
        <f t="shared" si="6"/>
        <v>10</v>
      </c>
      <c r="G15" s="18">
        <f t="shared" si="1"/>
        <v>877588.1796721539</v>
      </c>
      <c r="H15" s="18">
        <f t="shared" si="2"/>
        <v>-195715.97757438672</v>
      </c>
      <c r="I15" s="18"/>
      <c r="J15" s="18">
        <f t="shared" si="3"/>
        <v>681872.20209776715</v>
      </c>
      <c r="K15" s="18"/>
      <c r="L15" s="18">
        <f>-$C$6*$C$7-C6</f>
        <v>0</v>
      </c>
      <c r="M15" s="18">
        <f>+C4</f>
        <v>6500000</v>
      </c>
      <c r="N15" s="21">
        <f t="shared" si="5"/>
        <v>7181872.202097767</v>
      </c>
      <c r="O15" s="15">
        <f t="shared" si="0"/>
        <v>4409046.5301037775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/>
      <c r="G16" s="18"/>
      <c r="H16" s="18"/>
      <c r="I16" s="18"/>
      <c r="J16" s="18"/>
      <c r="K16" s="18"/>
      <c r="L16" s="18"/>
      <c r="M16" s="18"/>
      <c r="N16" s="21"/>
      <c r="O16" s="15"/>
      <c r="P16" s="12"/>
    </row>
    <row r="17" spans="1:16" x14ac:dyDescent="0.25">
      <c r="A17" s="24"/>
      <c r="B17" s="25"/>
      <c r="C17" s="25"/>
      <c r="D17" s="26"/>
      <c r="E17" s="11"/>
      <c r="F17" s="25"/>
      <c r="G17" s="35"/>
      <c r="H17" s="35"/>
      <c r="I17" s="35"/>
      <c r="J17" s="35"/>
      <c r="K17" s="35"/>
      <c r="L17" s="35"/>
      <c r="M17" s="35"/>
      <c r="N17" s="36"/>
      <c r="O17" s="37"/>
      <c r="P17" s="12"/>
    </row>
    <row r="18" spans="1:16" x14ac:dyDescent="0.25">
      <c r="A18" s="24"/>
      <c r="B18" s="25" t="s">
        <v>28</v>
      </c>
      <c r="C18" s="25"/>
      <c r="D18" s="26"/>
      <c r="E18" s="11"/>
      <c r="F18" s="25"/>
      <c r="G18" s="43" t="s">
        <v>42</v>
      </c>
      <c r="H18" s="35"/>
      <c r="I18" s="35"/>
      <c r="J18" s="35"/>
      <c r="K18" s="35"/>
      <c r="L18" s="35"/>
      <c r="M18" s="35"/>
      <c r="N18" s="36"/>
      <c r="O18" s="37"/>
      <c r="P18" s="12"/>
    </row>
    <row r="19" spans="1:16" x14ac:dyDescent="0.25">
      <c r="A19" s="24"/>
      <c r="B19" s="25" t="s">
        <v>30</v>
      </c>
      <c r="C19" s="31">
        <f>SUM(O5:O15)</f>
        <v>0</v>
      </c>
      <c r="D19" s="26"/>
      <c r="E19" s="11"/>
      <c r="F19" s="25"/>
      <c r="G19" s="38"/>
      <c r="H19" s="35"/>
      <c r="I19" s="35"/>
      <c r="J19" s="35"/>
      <c r="K19" s="35"/>
      <c r="L19" s="35"/>
      <c r="M19" s="35"/>
      <c r="N19" s="36"/>
      <c r="O19" s="37"/>
      <c r="P19" s="12"/>
    </row>
    <row r="20" spans="1:16" x14ac:dyDescent="0.25">
      <c r="A20" s="24"/>
      <c r="B20" s="25"/>
      <c r="C20" s="25"/>
      <c r="D20" s="26"/>
      <c r="E20" s="11"/>
      <c r="F20" s="25"/>
      <c r="G20" s="43" t="s">
        <v>34</v>
      </c>
      <c r="H20" s="35"/>
      <c r="I20" s="35"/>
      <c r="J20" s="35"/>
      <c r="K20" s="35"/>
      <c r="L20" s="35"/>
      <c r="M20" s="35"/>
      <c r="N20" s="36"/>
      <c r="O20" s="37"/>
      <c r="P20" s="12"/>
    </row>
    <row r="21" spans="1:16" x14ac:dyDescent="0.25">
      <c r="A21" s="24"/>
      <c r="B21" s="25" t="s">
        <v>24</v>
      </c>
      <c r="C21" s="25"/>
      <c r="D21" s="26"/>
      <c r="E21" s="11"/>
      <c r="F21" s="25"/>
      <c r="G21" s="38" t="s">
        <v>35</v>
      </c>
      <c r="H21" s="35"/>
      <c r="I21" s="35"/>
      <c r="J21" s="35"/>
      <c r="K21" s="35"/>
      <c r="L21" s="35"/>
      <c r="M21" s="35"/>
      <c r="N21" s="36"/>
      <c r="O21" s="37"/>
      <c r="P21" s="12"/>
    </row>
    <row r="22" spans="1:16" x14ac:dyDescent="0.25">
      <c r="A22" s="24"/>
      <c r="B22" s="25" t="s">
        <v>30</v>
      </c>
      <c r="C22" s="40">
        <f>NPV(C28,N6:N15)+N5</f>
        <v>0</v>
      </c>
      <c r="D22" s="26"/>
      <c r="E22" s="11"/>
      <c r="F22" s="25"/>
      <c r="G22" s="38" t="s">
        <v>41</v>
      </c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35"/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8" t="s">
        <v>36</v>
      </c>
      <c r="H24" s="35"/>
      <c r="I24" s="38" t="s">
        <v>37</v>
      </c>
      <c r="J24" s="35"/>
      <c r="K24" s="39"/>
      <c r="L24" s="35"/>
      <c r="M24" s="35"/>
      <c r="N24" s="36"/>
      <c r="O24" s="37"/>
      <c r="P24" s="12"/>
    </row>
    <row r="25" spans="1:16" x14ac:dyDescent="0.25">
      <c r="A25" s="24"/>
      <c r="B25" s="25" t="s">
        <v>30</v>
      </c>
      <c r="C25" s="34">
        <f>IRR(N5:N15,C28)</f>
        <v>5.0000000000000044E-2</v>
      </c>
      <c r="D25" s="26"/>
      <c r="E25" s="11"/>
      <c r="F25" s="25"/>
      <c r="G25" s="38" t="s">
        <v>38</v>
      </c>
      <c r="H25" s="35"/>
      <c r="I25" s="38" t="s">
        <v>39</v>
      </c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8" t="s">
        <v>40</v>
      </c>
      <c r="H26" s="35"/>
      <c r="I26" s="38" t="s">
        <v>18</v>
      </c>
      <c r="J26" s="35"/>
      <c r="K26" s="41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5"/>
      <c r="H27" s="35"/>
      <c r="I27" s="35"/>
      <c r="J27" s="35"/>
      <c r="K27" s="35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5"/>
      <c r="H28" s="35"/>
      <c r="I28" s="35"/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5"/>
      <c r="H29" s="35"/>
      <c r="I29" s="35"/>
      <c r="J29" s="35"/>
      <c r="K29" s="35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f>+C9/C3</f>
        <v>9.7910204081103361E-2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6" t="s">
        <v>22</v>
      </c>
      <c r="B1" s="47"/>
      <c r="C1" s="47"/>
      <c r="D1" s="48"/>
      <c r="E1" s="46" t="s">
        <v>19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7500000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32</v>
      </c>
      <c r="C4" s="13">
        <v>6000000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-7500000</v>
      </c>
      <c r="L5" s="20">
        <f>+C6</f>
        <v>0</v>
      </c>
      <c r="M5" s="19"/>
      <c r="N5" s="21">
        <f>SUM(J5:M5)</f>
        <v>-7500000</v>
      </c>
      <c r="O5" s="15">
        <f t="shared" ref="O5:O20" si="0">+N5/(1+$C$28)^F5</f>
        <v>-7500000</v>
      </c>
      <c r="P5" s="12"/>
    </row>
    <row r="6" spans="1:16" x14ac:dyDescent="0.25">
      <c r="A6" s="24"/>
      <c r="B6" s="25" t="s">
        <v>31</v>
      </c>
      <c r="C6" s="13"/>
      <c r="D6" s="26"/>
      <c r="E6" s="11"/>
      <c r="F6" s="11">
        <f>+F5+1</f>
        <v>1</v>
      </c>
      <c r="G6" s="18">
        <f>+C9</f>
        <v>666272.04521786433</v>
      </c>
      <c r="H6" s="18">
        <f>-C12</f>
        <v>-150000</v>
      </c>
      <c r="I6" s="18"/>
      <c r="J6" s="18">
        <f>SUM(G6:I6)</f>
        <v>516272.04521786433</v>
      </c>
      <c r="K6" s="18"/>
      <c r="L6" s="18">
        <f>-$C$6*$C$7</f>
        <v>0</v>
      </c>
      <c r="M6" s="18"/>
      <c r="N6" s="21">
        <f>SUM(J6:M6)</f>
        <v>516272.04521786433</v>
      </c>
      <c r="O6" s="15">
        <f t="shared" si="0"/>
        <v>491687.66211225174</v>
      </c>
      <c r="P6" s="12"/>
    </row>
    <row r="7" spans="1:16" x14ac:dyDescent="0.25">
      <c r="A7" s="24"/>
      <c r="B7" s="25" t="s">
        <v>27</v>
      </c>
      <c r="C7" s="14">
        <v>0</v>
      </c>
      <c r="D7" s="26"/>
      <c r="E7" s="11"/>
      <c r="F7" s="11">
        <f>+F6+1</f>
        <v>2</v>
      </c>
      <c r="G7" s="18">
        <f t="shared" ref="G7:G20" si="1">+G6*(1+$C$10)</f>
        <v>679597.48612222169</v>
      </c>
      <c r="H7" s="18">
        <f t="shared" ref="H7:H20" si="2">+H6*(1+$C$13)</f>
        <v>-154500</v>
      </c>
      <c r="I7" s="18"/>
      <c r="J7" s="18">
        <f t="shared" ref="J7:J20" si="3">SUM(G7:I7)</f>
        <v>525097.48612222169</v>
      </c>
      <c r="K7" s="18"/>
      <c r="L7" s="18">
        <f t="shared" ref="L7:L19" si="4">-$C$6*$C$7</f>
        <v>0</v>
      </c>
      <c r="M7" s="18"/>
      <c r="N7" s="21">
        <f t="shared" ref="N7:N20" si="5">SUM(J7:M7)</f>
        <v>525097.48612222169</v>
      </c>
      <c r="O7" s="15">
        <f t="shared" si="0"/>
        <v>476278.8989770718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20" si="6">+F7+1</f>
        <v>3</v>
      </c>
      <c r="G8" s="18">
        <f t="shared" si="1"/>
        <v>693189.43584466609</v>
      </c>
      <c r="H8" s="18">
        <f t="shared" si="2"/>
        <v>-159135</v>
      </c>
      <c r="I8" s="18">
        <v>-250000</v>
      </c>
      <c r="J8" s="18">
        <f t="shared" si="3"/>
        <v>284054.43584466609</v>
      </c>
      <c r="K8" s="18"/>
      <c r="L8" s="18">
        <f t="shared" si="4"/>
        <v>0</v>
      </c>
      <c r="M8" s="18"/>
      <c r="N8" s="21">
        <f t="shared" si="5"/>
        <v>284054.43584466609</v>
      </c>
      <c r="O8" s="15">
        <f t="shared" si="0"/>
        <v>245376.90171226958</v>
      </c>
      <c r="P8" s="12"/>
    </row>
    <row r="9" spans="1:16" x14ac:dyDescent="0.25">
      <c r="A9" s="24"/>
      <c r="B9" s="25" t="s">
        <v>18</v>
      </c>
      <c r="C9" s="42">
        <v>666272.04521786433</v>
      </c>
      <c r="D9" s="26"/>
      <c r="E9" s="11"/>
      <c r="F9" s="11">
        <f t="shared" si="6"/>
        <v>4</v>
      </c>
      <c r="G9" s="18">
        <f t="shared" si="1"/>
        <v>707053.22456155939</v>
      </c>
      <c r="H9" s="18">
        <f t="shared" si="2"/>
        <v>-163909.05000000002</v>
      </c>
      <c r="I9" s="18"/>
      <c r="J9" s="18">
        <f t="shared" si="3"/>
        <v>543144.17456155934</v>
      </c>
      <c r="K9" s="18"/>
      <c r="L9" s="18">
        <f t="shared" si="4"/>
        <v>0</v>
      </c>
      <c r="M9" s="18"/>
      <c r="N9" s="21">
        <f t="shared" si="5"/>
        <v>543144.17456155934</v>
      </c>
      <c r="O9" s="15">
        <f t="shared" si="0"/>
        <v>446846.0565805888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721194.28905279061</v>
      </c>
      <c r="H10" s="18">
        <f t="shared" si="2"/>
        <v>-168826.32150000002</v>
      </c>
      <c r="I10" s="18">
        <v>-1000000</v>
      </c>
      <c r="J10" s="18">
        <f t="shared" si="3"/>
        <v>-447632.03244720935</v>
      </c>
      <c r="K10" s="18"/>
      <c r="L10" s="18">
        <f t="shared" si="4"/>
        <v>0</v>
      </c>
      <c r="M10" s="18"/>
      <c r="N10" s="21">
        <f t="shared" si="5"/>
        <v>-447632.03244720935</v>
      </c>
      <c r="O10" s="15">
        <f t="shared" si="0"/>
        <v>-350731.41037184675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735618.17483384639</v>
      </c>
      <c r="H11" s="18">
        <f t="shared" si="2"/>
        <v>-173891.11114500003</v>
      </c>
      <c r="I11" s="18"/>
      <c r="J11" s="18">
        <f t="shared" si="3"/>
        <v>561727.06368884631</v>
      </c>
      <c r="K11" s="18"/>
      <c r="L11" s="18">
        <f t="shared" si="4"/>
        <v>0</v>
      </c>
      <c r="M11" s="18"/>
      <c r="N11" s="21">
        <f t="shared" si="5"/>
        <v>561727.06368884631</v>
      </c>
      <c r="O11" s="15">
        <f t="shared" si="0"/>
        <v>419169.38363210065</v>
      </c>
      <c r="P11" s="12"/>
    </row>
    <row r="12" spans="1:16" x14ac:dyDescent="0.25">
      <c r="A12" s="24"/>
      <c r="B12" s="25" t="s">
        <v>1</v>
      </c>
      <c r="C12" s="13">
        <v>150000</v>
      </c>
      <c r="D12" s="26"/>
      <c r="E12" s="11"/>
      <c r="F12" s="11">
        <f t="shared" si="6"/>
        <v>7</v>
      </c>
      <c r="G12" s="18">
        <f t="shared" si="1"/>
        <v>750330.5383305233</v>
      </c>
      <c r="H12" s="18">
        <f t="shared" si="2"/>
        <v>-179107.84447935002</v>
      </c>
      <c r="I12" s="18"/>
      <c r="J12" s="18">
        <f t="shared" si="3"/>
        <v>571222.69385117327</v>
      </c>
      <c r="K12" s="18"/>
      <c r="L12" s="18">
        <f t="shared" si="4"/>
        <v>0</v>
      </c>
      <c r="M12" s="18"/>
      <c r="N12" s="21">
        <f t="shared" si="5"/>
        <v>571222.69385117327</v>
      </c>
      <c r="O12" s="15">
        <f t="shared" si="0"/>
        <v>405957.30386666296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765337.14909713378</v>
      </c>
      <c r="H13" s="18">
        <f t="shared" si="2"/>
        <v>-184481.07981373052</v>
      </c>
      <c r="I13" s="18">
        <v>-500000</v>
      </c>
      <c r="J13" s="18">
        <f t="shared" si="3"/>
        <v>80856.069283403223</v>
      </c>
      <c r="K13" s="18"/>
      <c r="L13" s="18">
        <f t="shared" si="4"/>
        <v>0</v>
      </c>
      <c r="M13" s="18"/>
      <c r="N13" s="21">
        <f t="shared" si="5"/>
        <v>80856.069283403223</v>
      </c>
      <c r="O13" s="15">
        <f t="shared" si="0"/>
        <v>54726.570349925969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780643.8920790765</v>
      </c>
      <c r="H14" s="18">
        <f t="shared" si="2"/>
        <v>-190015.51220814243</v>
      </c>
      <c r="I14" s="18"/>
      <c r="J14" s="18">
        <f t="shared" si="3"/>
        <v>590628.37987093406</v>
      </c>
      <c r="K14" s="18"/>
      <c r="L14" s="18">
        <f t="shared" si="4"/>
        <v>0</v>
      </c>
      <c r="M14" s="18"/>
      <c r="N14" s="21">
        <f t="shared" si="5"/>
        <v>590628.37987093406</v>
      </c>
      <c r="O14" s="15">
        <f t="shared" si="0"/>
        <v>380724.31983607629</v>
      </c>
      <c r="P14" s="12"/>
    </row>
    <row r="15" spans="1:16" x14ac:dyDescent="0.25">
      <c r="A15" s="24"/>
      <c r="B15" s="25" t="s">
        <v>23</v>
      </c>
      <c r="C15" s="32">
        <f>+C3/(C9-C12)</f>
        <v>14.527224686037448</v>
      </c>
      <c r="D15" s="26"/>
      <c r="E15" s="11"/>
      <c r="F15" s="11">
        <f t="shared" si="6"/>
        <v>10</v>
      </c>
      <c r="G15" s="18">
        <f t="shared" si="1"/>
        <v>796256.76992065809</v>
      </c>
      <c r="H15" s="18">
        <f t="shared" si="2"/>
        <v>-195715.97757438672</v>
      </c>
      <c r="I15" s="18"/>
      <c r="J15" s="18">
        <f t="shared" si="3"/>
        <v>600540.79234627134</v>
      </c>
      <c r="K15" s="18"/>
      <c r="L15" s="18">
        <f t="shared" si="4"/>
        <v>0</v>
      </c>
      <c r="M15" s="18"/>
      <c r="N15" s="21">
        <f t="shared" si="5"/>
        <v>600540.79234627134</v>
      </c>
      <c r="O15" s="15">
        <f t="shared" si="0"/>
        <v>368679.95171324495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>
        <f>+F15+1</f>
        <v>11</v>
      </c>
      <c r="G16" s="18">
        <f t="shared" si="1"/>
        <v>812181.90531907126</v>
      </c>
      <c r="H16" s="18">
        <f t="shared" si="2"/>
        <v>-201587.45690161834</v>
      </c>
      <c r="I16" s="18"/>
      <c r="J16" s="18">
        <f t="shared" si="3"/>
        <v>610594.44841745286</v>
      </c>
      <c r="K16" s="18"/>
      <c r="L16" s="18">
        <f t="shared" si="4"/>
        <v>0</v>
      </c>
      <c r="M16" s="18"/>
      <c r="N16" s="21">
        <f t="shared" si="5"/>
        <v>610594.44841745286</v>
      </c>
      <c r="O16" s="15">
        <f t="shared" si="0"/>
        <v>357001.92802084173</v>
      </c>
      <c r="P16" s="12"/>
    </row>
    <row r="17" spans="1:16" x14ac:dyDescent="0.25">
      <c r="A17" s="24"/>
      <c r="B17" s="25"/>
      <c r="C17" s="25"/>
      <c r="D17" s="26"/>
      <c r="E17" s="11"/>
      <c r="F17" s="11">
        <f t="shared" si="6"/>
        <v>12</v>
      </c>
      <c r="G17" s="18">
        <f t="shared" si="1"/>
        <v>828425.54342545266</v>
      </c>
      <c r="H17" s="18">
        <f t="shared" si="2"/>
        <v>-207635.0806086669</v>
      </c>
      <c r="I17" s="18"/>
      <c r="J17" s="18">
        <f t="shared" si="3"/>
        <v>620790.46281678579</v>
      </c>
      <c r="K17" s="18"/>
      <c r="L17" s="18">
        <f t="shared" si="4"/>
        <v>0</v>
      </c>
      <c r="M17" s="18"/>
      <c r="N17" s="21">
        <f t="shared" si="5"/>
        <v>620790.46281678579</v>
      </c>
      <c r="O17" s="15">
        <f t="shared" si="0"/>
        <v>345679.35854415124</v>
      </c>
      <c r="P17" s="12"/>
    </row>
    <row r="18" spans="1:16" x14ac:dyDescent="0.25">
      <c r="A18" s="24"/>
      <c r="B18" s="25" t="s">
        <v>28</v>
      </c>
      <c r="C18" s="25"/>
      <c r="D18" s="26"/>
      <c r="E18" s="11"/>
      <c r="F18" s="11">
        <f t="shared" si="6"/>
        <v>13</v>
      </c>
      <c r="G18" s="18">
        <f t="shared" si="1"/>
        <v>844994.05429396173</v>
      </c>
      <c r="H18" s="18">
        <f t="shared" si="2"/>
        <v>-213864.13302692692</v>
      </c>
      <c r="I18" s="18"/>
      <c r="J18" s="18">
        <f t="shared" si="3"/>
        <v>631129.92126703484</v>
      </c>
      <c r="K18" s="18"/>
      <c r="L18" s="18">
        <f t="shared" si="4"/>
        <v>0</v>
      </c>
      <c r="M18" s="18"/>
      <c r="N18" s="21">
        <f t="shared" si="5"/>
        <v>631129.92126703484</v>
      </c>
      <c r="O18" s="15">
        <f t="shared" si="0"/>
        <v>334701.67227899242</v>
      </c>
      <c r="P18" s="12"/>
    </row>
    <row r="19" spans="1:16" x14ac:dyDescent="0.25">
      <c r="A19" s="24"/>
      <c r="B19" s="25" t="s">
        <v>33</v>
      </c>
      <c r="C19" s="31">
        <f>SUM(O6:O20)</f>
        <v>7500000.0000000037</v>
      </c>
      <c r="D19" s="26"/>
      <c r="E19" s="11"/>
      <c r="F19" s="11">
        <f t="shared" si="6"/>
        <v>14</v>
      </c>
      <c r="G19" s="18">
        <f t="shared" si="1"/>
        <v>861893.93537984102</v>
      </c>
      <c r="H19" s="18">
        <f t="shared" si="2"/>
        <v>-220280.05701773474</v>
      </c>
      <c r="I19" s="18"/>
      <c r="J19" s="18">
        <f t="shared" si="3"/>
        <v>641613.87836210628</v>
      </c>
      <c r="K19" s="18"/>
      <c r="L19" s="18">
        <f t="shared" si="4"/>
        <v>0</v>
      </c>
      <c r="M19" s="18"/>
      <c r="N19" s="21">
        <f t="shared" si="5"/>
        <v>641613.87836210628</v>
      </c>
      <c r="O19" s="15">
        <f t="shared" si="0"/>
        <v>324058.60815786483</v>
      </c>
      <c r="P19" s="12"/>
    </row>
    <row r="20" spans="1:16" x14ac:dyDescent="0.25">
      <c r="A20" s="24"/>
      <c r="B20" s="25"/>
      <c r="C20" s="25"/>
      <c r="D20" s="26"/>
      <c r="E20" s="11"/>
      <c r="F20" s="11">
        <f t="shared" si="6"/>
        <v>15</v>
      </c>
      <c r="G20" s="18">
        <f t="shared" si="1"/>
        <v>879131.81408743782</v>
      </c>
      <c r="H20" s="18">
        <f t="shared" si="2"/>
        <v>-226888.45872826679</v>
      </c>
      <c r="I20" s="18"/>
      <c r="J20" s="18">
        <f t="shared" si="3"/>
        <v>652243.35535917105</v>
      </c>
      <c r="K20" s="18"/>
      <c r="L20" s="18">
        <f>-$C$6*$C$7-C6</f>
        <v>0</v>
      </c>
      <c r="M20" s="18">
        <f>+C4</f>
        <v>6000000</v>
      </c>
      <c r="N20" s="21">
        <f t="shared" si="5"/>
        <v>6652243.3553591706</v>
      </c>
      <c r="O20" s="15">
        <f t="shared" si="0"/>
        <v>3199842.7945898068</v>
      </c>
      <c r="P20" s="12"/>
    </row>
    <row r="21" spans="1:16" x14ac:dyDescent="0.25">
      <c r="A21" s="24"/>
      <c r="B21" s="25" t="s">
        <v>24</v>
      </c>
      <c r="C21" s="25"/>
      <c r="D21" s="26"/>
      <c r="E21" s="11"/>
      <c r="F21" s="11"/>
      <c r="G21" s="18"/>
      <c r="H21" s="18"/>
      <c r="I21" s="18"/>
      <c r="J21" s="18"/>
      <c r="K21" s="18"/>
      <c r="L21" s="18"/>
      <c r="M21" s="18"/>
      <c r="N21" s="21"/>
      <c r="O21" s="15"/>
      <c r="P21" s="12"/>
    </row>
    <row r="22" spans="1:16" x14ac:dyDescent="0.25">
      <c r="A22" s="24"/>
      <c r="B22" s="25" t="s">
        <v>33</v>
      </c>
      <c r="C22" s="40">
        <f>NPV(C28,N6:N20)+N5</f>
        <v>0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43" t="s">
        <v>34</v>
      </c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8" t="s">
        <v>35</v>
      </c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33</v>
      </c>
      <c r="C25" s="34">
        <f>IRR(N5:N20,C28)</f>
        <v>5.0000000000000044E-2</v>
      </c>
      <c r="D25" s="26"/>
      <c r="E25" s="11"/>
      <c r="F25" s="25"/>
      <c r="G25" s="38" t="s">
        <v>41</v>
      </c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8" t="s">
        <v>36</v>
      </c>
      <c r="H27" s="35"/>
      <c r="I27" s="38" t="s">
        <v>37</v>
      </c>
      <c r="J27" s="35"/>
      <c r="K27" s="39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8" t="s">
        <v>38</v>
      </c>
      <c r="H28" s="35"/>
      <c r="I28" s="38" t="s">
        <v>39</v>
      </c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8" t="s">
        <v>40</v>
      </c>
      <c r="H29" s="35"/>
      <c r="I29" s="38" t="s">
        <v>18</v>
      </c>
      <c r="J29" s="35"/>
      <c r="K29" s="41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f>+C9/C3</f>
        <v>8.8836272695715243E-2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6" t="s">
        <v>22</v>
      </c>
      <c r="B1" s="47"/>
      <c r="C1" s="47"/>
      <c r="D1" s="48"/>
      <c r="E1" s="46" t="s">
        <v>19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7500000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32</v>
      </c>
      <c r="C4" s="42">
        <v>3954079.9590949407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-7500000</v>
      </c>
      <c r="L5" s="20">
        <f>+C6</f>
        <v>0</v>
      </c>
      <c r="M5" s="19"/>
      <c r="N5" s="21">
        <f>SUM(J5:M5)</f>
        <v>-7500000</v>
      </c>
      <c r="O5" s="15">
        <f t="shared" ref="O5:O20" si="0">+N5/(1+$C$28)^F5</f>
        <v>-7500000</v>
      </c>
      <c r="P5" s="12"/>
    </row>
    <row r="6" spans="1:16" x14ac:dyDescent="0.25">
      <c r="A6" s="24"/>
      <c r="B6" s="25" t="s">
        <v>31</v>
      </c>
      <c r="C6" s="13"/>
      <c r="D6" s="26"/>
      <c r="E6" s="11"/>
      <c r="F6" s="11">
        <f>+F5+1</f>
        <v>1</v>
      </c>
      <c r="G6" s="18">
        <f>+C9</f>
        <v>750000</v>
      </c>
      <c r="H6" s="18">
        <f>-C12</f>
        <v>-150000</v>
      </c>
      <c r="I6" s="18"/>
      <c r="J6" s="18">
        <f>SUM(G6:I6)</f>
        <v>600000</v>
      </c>
      <c r="K6" s="18"/>
      <c r="L6" s="18">
        <f>-$C$6*$C$7</f>
        <v>0</v>
      </c>
      <c r="M6" s="18"/>
      <c r="N6" s="21">
        <f>SUM(J6:M6)</f>
        <v>600000</v>
      </c>
      <c r="O6" s="15">
        <f t="shared" si="0"/>
        <v>571428.57142857136</v>
      </c>
      <c r="P6" s="12"/>
    </row>
    <row r="7" spans="1:16" x14ac:dyDescent="0.25">
      <c r="A7" s="24"/>
      <c r="B7" s="25" t="s">
        <v>27</v>
      </c>
      <c r="C7" s="14"/>
      <c r="D7" s="26"/>
      <c r="E7" s="11"/>
      <c r="F7" s="11">
        <f>+F6+1</f>
        <v>2</v>
      </c>
      <c r="G7" s="18">
        <f t="shared" ref="G7:G20" si="1">+G6*(1+$C$10)</f>
        <v>765000</v>
      </c>
      <c r="H7" s="18">
        <f t="shared" ref="H7:H20" si="2">+H6*(1+$C$13)</f>
        <v>-154500</v>
      </c>
      <c r="I7" s="18"/>
      <c r="J7" s="18">
        <f t="shared" ref="J7:J20" si="3">SUM(G7:I7)</f>
        <v>610500</v>
      </c>
      <c r="K7" s="18"/>
      <c r="L7" s="18">
        <f t="shared" ref="L7:L19" si="4">-$C$6*$C$7</f>
        <v>0</v>
      </c>
      <c r="M7" s="18"/>
      <c r="N7" s="21">
        <f t="shared" ref="N7:N20" si="5">SUM(J7:M7)</f>
        <v>610500</v>
      </c>
      <c r="O7" s="15">
        <f t="shared" si="0"/>
        <v>553741.49659863941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20" si="6">+F7+1</f>
        <v>3</v>
      </c>
      <c r="G8" s="18">
        <f t="shared" si="1"/>
        <v>780300</v>
      </c>
      <c r="H8" s="18">
        <f t="shared" si="2"/>
        <v>-159135</v>
      </c>
      <c r="I8" s="18">
        <v>-250000</v>
      </c>
      <c r="J8" s="18">
        <f t="shared" si="3"/>
        <v>371165</v>
      </c>
      <c r="K8" s="18"/>
      <c r="L8" s="18">
        <f t="shared" si="4"/>
        <v>0</v>
      </c>
      <c r="M8" s="18"/>
      <c r="N8" s="21">
        <f t="shared" si="5"/>
        <v>371165</v>
      </c>
      <c r="O8" s="15">
        <f t="shared" si="0"/>
        <v>320626.28225893527</v>
      </c>
      <c r="P8" s="12"/>
    </row>
    <row r="9" spans="1:16" x14ac:dyDescent="0.25">
      <c r="A9" s="24"/>
      <c r="B9" s="25" t="s">
        <v>18</v>
      </c>
      <c r="C9" s="13">
        <v>750000</v>
      </c>
      <c r="D9" s="26"/>
      <c r="E9" s="11"/>
      <c r="F9" s="11">
        <f t="shared" si="6"/>
        <v>4</v>
      </c>
      <c r="G9" s="18">
        <f t="shared" si="1"/>
        <v>795906</v>
      </c>
      <c r="H9" s="18">
        <f t="shared" si="2"/>
        <v>-163909.05000000002</v>
      </c>
      <c r="I9" s="18"/>
      <c r="J9" s="18">
        <f t="shared" si="3"/>
        <v>631996.94999999995</v>
      </c>
      <c r="K9" s="18"/>
      <c r="L9" s="18">
        <f t="shared" si="4"/>
        <v>0</v>
      </c>
      <c r="M9" s="18"/>
      <c r="N9" s="21">
        <f t="shared" si="5"/>
        <v>631996.94999999995</v>
      </c>
      <c r="O9" s="15">
        <f t="shared" si="0"/>
        <v>519945.45482592128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811824.12</v>
      </c>
      <c r="H10" s="18">
        <f t="shared" si="2"/>
        <v>-168826.32150000002</v>
      </c>
      <c r="I10" s="18">
        <v>-1000000</v>
      </c>
      <c r="J10" s="18">
        <f t="shared" si="3"/>
        <v>-357002.20149999997</v>
      </c>
      <c r="K10" s="18"/>
      <c r="L10" s="18">
        <f t="shared" si="4"/>
        <v>0</v>
      </c>
      <c r="M10" s="18"/>
      <c r="N10" s="21">
        <f t="shared" si="5"/>
        <v>-357002.20149999997</v>
      </c>
      <c r="O10" s="15">
        <f t="shared" si="0"/>
        <v>-279720.5663620953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828060.60239999997</v>
      </c>
      <c r="H11" s="18">
        <f t="shared" si="2"/>
        <v>-173891.11114500003</v>
      </c>
      <c r="I11" s="18"/>
      <c r="J11" s="18">
        <f t="shared" si="3"/>
        <v>654169.491255</v>
      </c>
      <c r="K11" s="18"/>
      <c r="L11" s="18">
        <f t="shared" si="4"/>
        <v>0</v>
      </c>
      <c r="M11" s="18"/>
      <c r="N11" s="21">
        <f t="shared" si="5"/>
        <v>654169.491255</v>
      </c>
      <c r="O11" s="15">
        <f t="shared" si="0"/>
        <v>488151.34638443077</v>
      </c>
      <c r="P11" s="12"/>
    </row>
    <row r="12" spans="1:16" x14ac:dyDescent="0.25">
      <c r="A12" s="24"/>
      <c r="B12" s="25" t="s">
        <v>1</v>
      </c>
      <c r="C12" s="13">
        <v>150000</v>
      </c>
      <c r="D12" s="26"/>
      <c r="E12" s="11"/>
      <c r="F12" s="11">
        <f t="shared" si="6"/>
        <v>7</v>
      </c>
      <c r="G12" s="18">
        <f t="shared" si="1"/>
        <v>844621.81444799993</v>
      </c>
      <c r="H12" s="18">
        <f t="shared" si="2"/>
        <v>-179107.84447935002</v>
      </c>
      <c r="I12" s="18"/>
      <c r="J12" s="18">
        <f t="shared" si="3"/>
        <v>665513.96996864991</v>
      </c>
      <c r="K12" s="18"/>
      <c r="L12" s="18">
        <f t="shared" si="4"/>
        <v>0</v>
      </c>
      <c r="M12" s="18"/>
      <c r="N12" s="21">
        <f t="shared" si="5"/>
        <v>665513.96996864991</v>
      </c>
      <c r="O12" s="15">
        <f t="shared" si="0"/>
        <v>472968.35339749779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861514.25073695998</v>
      </c>
      <c r="H13" s="18">
        <f t="shared" si="2"/>
        <v>-184481.07981373052</v>
      </c>
      <c r="I13" s="18">
        <v>-500000</v>
      </c>
      <c r="J13" s="18">
        <f t="shared" si="3"/>
        <v>177033.17092322942</v>
      </c>
      <c r="K13" s="18"/>
      <c r="L13" s="18">
        <f t="shared" si="4"/>
        <v>0</v>
      </c>
      <c r="M13" s="18"/>
      <c r="N13" s="21">
        <f t="shared" si="5"/>
        <v>177033.17092322942</v>
      </c>
      <c r="O13" s="15">
        <f t="shared" si="0"/>
        <v>119823.01846559414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878744.53575169924</v>
      </c>
      <c r="H14" s="18">
        <f t="shared" si="2"/>
        <v>-190015.51220814243</v>
      </c>
      <c r="I14" s="18"/>
      <c r="J14" s="18">
        <f t="shared" si="3"/>
        <v>688729.0235435568</v>
      </c>
      <c r="K14" s="18"/>
      <c r="L14" s="18">
        <f t="shared" si="4"/>
        <v>0</v>
      </c>
      <c r="M14" s="18"/>
      <c r="N14" s="21">
        <f t="shared" si="5"/>
        <v>688729.0235435568</v>
      </c>
      <c r="O14" s="15">
        <f t="shared" si="0"/>
        <v>443960.86943415395</v>
      </c>
      <c r="P14" s="12"/>
    </row>
    <row r="15" spans="1:16" x14ac:dyDescent="0.25">
      <c r="A15" s="24"/>
      <c r="B15" s="25" t="s">
        <v>23</v>
      </c>
      <c r="C15" s="32">
        <f>+C3/(C9-C12)</f>
        <v>12.5</v>
      </c>
      <c r="D15" s="26"/>
      <c r="E15" s="11"/>
      <c r="F15" s="11">
        <f t="shared" si="6"/>
        <v>10</v>
      </c>
      <c r="G15" s="18">
        <f t="shared" si="1"/>
        <v>896319.42646673322</v>
      </c>
      <c r="H15" s="18">
        <f t="shared" si="2"/>
        <v>-195715.97757438672</v>
      </c>
      <c r="I15" s="18"/>
      <c r="J15" s="18">
        <f t="shared" si="3"/>
        <v>700603.44889234647</v>
      </c>
      <c r="K15" s="18"/>
      <c r="L15" s="18">
        <f t="shared" si="4"/>
        <v>0</v>
      </c>
      <c r="M15" s="18"/>
      <c r="N15" s="21">
        <f t="shared" si="5"/>
        <v>700603.44889234647</v>
      </c>
      <c r="O15" s="15">
        <f t="shared" si="0"/>
        <v>430109.74275137752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>
        <f>+F15+1</f>
        <v>11</v>
      </c>
      <c r="G16" s="18">
        <f t="shared" si="1"/>
        <v>914245.8149960679</v>
      </c>
      <c r="H16" s="18">
        <f t="shared" si="2"/>
        <v>-201587.45690161834</v>
      </c>
      <c r="I16" s="18"/>
      <c r="J16" s="18">
        <f t="shared" si="3"/>
        <v>712658.35809444962</v>
      </c>
      <c r="K16" s="18"/>
      <c r="L16" s="18">
        <f t="shared" si="4"/>
        <v>0</v>
      </c>
      <c r="M16" s="18"/>
      <c r="N16" s="21">
        <f t="shared" si="5"/>
        <v>712658.35809444962</v>
      </c>
      <c r="O16" s="15">
        <f t="shared" si="0"/>
        <v>416676.58217217051</v>
      </c>
      <c r="P16" s="12"/>
    </row>
    <row r="17" spans="1:16" x14ac:dyDescent="0.25">
      <c r="A17" s="24"/>
      <c r="B17" s="25"/>
      <c r="C17" s="25"/>
      <c r="D17" s="26"/>
      <c r="E17" s="11"/>
      <c r="F17" s="11">
        <f t="shared" si="6"/>
        <v>12</v>
      </c>
      <c r="G17" s="18">
        <f t="shared" si="1"/>
        <v>932530.73129598924</v>
      </c>
      <c r="H17" s="18">
        <f t="shared" si="2"/>
        <v>-207635.0806086669</v>
      </c>
      <c r="I17" s="18"/>
      <c r="J17" s="18">
        <f t="shared" si="3"/>
        <v>724895.65068732237</v>
      </c>
      <c r="K17" s="18"/>
      <c r="L17" s="18">
        <f t="shared" si="4"/>
        <v>0</v>
      </c>
      <c r="M17" s="18"/>
      <c r="N17" s="21">
        <f t="shared" si="5"/>
        <v>724895.65068732237</v>
      </c>
      <c r="O17" s="15">
        <f t="shared" si="0"/>
        <v>403649.02257687063</v>
      </c>
      <c r="P17" s="12"/>
    </row>
    <row r="18" spans="1:16" x14ac:dyDescent="0.25">
      <c r="A18" s="24"/>
      <c r="B18" s="25" t="s">
        <v>28</v>
      </c>
      <c r="C18" s="25"/>
      <c r="D18" s="26"/>
      <c r="E18" s="11"/>
      <c r="F18" s="11">
        <f t="shared" si="6"/>
        <v>13</v>
      </c>
      <c r="G18" s="18">
        <f t="shared" si="1"/>
        <v>951181.34592190909</v>
      </c>
      <c r="H18" s="18">
        <f t="shared" si="2"/>
        <v>-213864.13302692692</v>
      </c>
      <c r="I18" s="18"/>
      <c r="J18" s="18">
        <f t="shared" si="3"/>
        <v>737317.21289498219</v>
      </c>
      <c r="K18" s="18"/>
      <c r="L18" s="18">
        <f t="shared" si="4"/>
        <v>0</v>
      </c>
      <c r="M18" s="18"/>
      <c r="N18" s="21">
        <f t="shared" si="5"/>
        <v>737317.21289498219</v>
      </c>
      <c r="O18" s="15">
        <f t="shared" si="0"/>
        <v>391015.06019649125</v>
      </c>
      <c r="P18" s="12"/>
    </row>
    <row r="19" spans="1:16" x14ac:dyDescent="0.25">
      <c r="A19" s="24"/>
      <c r="B19" s="25" t="s">
        <v>33</v>
      </c>
      <c r="C19" s="31">
        <f>SUM(O6:O20)</f>
        <v>7500000.0000000028</v>
      </c>
      <c r="D19" s="26"/>
      <c r="E19" s="11"/>
      <c r="F19" s="11">
        <f t="shared" si="6"/>
        <v>14</v>
      </c>
      <c r="G19" s="18">
        <f t="shared" si="1"/>
        <v>970204.97284034733</v>
      </c>
      <c r="H19" s="18">
        <f t="shared" si="2"/>
        <v>-220280.05701773474</v>
      </c>
      <c r="I19" s="18"/>
      <c r="J19" s="18">
        <f t="shared" si="3"/>
        <v>749924.91582261259</v>
      </c>
      <c r="K19" s="18"/>
      <c r="L19" s="18">
        <f t="shared" si="4"/>
        <v>0</v>
      </c>
      <c r="M19" s="18"/>
      <c r="N19" s="21">
        <f t="shared" si="5"/>
        <v>749924.91582261259</v>
      </c>
      <c r="O19" s="15">
        <f t="shared" si="0"/>
        <v>378763.04213486373</v>
      </c>
      <c r="P19" s="12"/>
    </row>
    <row r="20" spans="1:16" x14ac:dyDescent="0.25">
      <c r="A20" s="24"/>
      <c r="B20" s="25"/>
      <c r="C20" s="25"/>
      <c r="D20" s="26"/>
      <c r="E20" s="11"/>
      <c r="F20" s="11">
        <f t="shared" si="6"/>
        <v>15</v>
      </c>
      <c r="G20" s="18">
        <f t="shared" si="1"/>
        <v>989609.07229715434</v>
      </c>
      <c r="H20" s="18">
        <f t="shared" si="2"/>
        <v>-226888.45872826679</v>
      </c>
      <c r="I20" s="18"/>
      <c r="J20" s="18">
        <f t="shared" si="3"/>
        <v>762720.61356888758</v>
      </c>
      <c r="K20" s="18"/>
      <c r="L20" s="18">
        <f>-$C$6*$C$7-C6</f>
        <v>0</v>
      </c>
      <c r="M20" s="18">
        <f>+C4</f>
        <v>3954079.9590949407</v>
      </c>
      <c r="N20" s="21">
        <f t="shared" si="5"/>
        <v>4716800.5726638287</v>
      </c>
      <c r="O20" s="15">
        <f t="shared" si="0"/>
        <v>2268861.7237365814</v>
      </c>
      <c r="P20" s="12"/>
    </row>
    <row r="21" spans="1:16" x14ac:dyDescent="0.25">
      <c r="A21" s="24"/>
      <c r="B21" s="25" t="s">
        <v>24</v>
      </c>
      <c r="C21" s="25"/>
      <c r="D21" s="26"/>
      <c r="E21" s="11"/>
      <c r="F21" s="11"/>
      <c r="G21" s="18"/>
      <c r="H21" s="18"/>
      <c r="I21" s="18"/>
      <c r="J21" s="18"/>
      <c r="K21" s="18"/>
      <c r="L21" s="18"/>
      <c r="M21" s="18"/>
      <c r="N21" s="21"/>
      <c r="O21" s="15"/>
      <c r="P21" s="12"/>
    </row>
    <row r="22" spans="1:16" x14ac:dyDescent="0.25">
      <c r="A22" s="24"/>
      <c r="B22" s="25" t="s">
        <v>33</v>
      </c>
      <c r="C22" s="40">
        <f>NPV(C28,N6:N20)+N5</f>
        <v>0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43" t="s">
        <v>34</v>
      </c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8" t="s">
        <v>35</v>
      </c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33</v>
      </c>
      <c r="C25" s="34">
        <f>IRR(N5:N20,C28)</f>
        <v>5.0000000000000044E-2</v>
      </c>
      <c r="D25" s="26"/>
      <c r="E25" s="11"/>
      <c r="F25" s="25"/>
      <c r="G25" s="38" t="s">
        <v>41</v>
      </c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8" t="s">
        <v>36</v>
      </c>
      <c r="H27" s="35"/>
      <c r="I27" s="38" t="s">
        <v>37</v>
      </c>
      <c r="J27" s="35"/>
      <c r="K27" s="39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8" t="s">
        <v>38</v>
      </c>
      <c r="H28" s="35"/>
      <c r="I28" s="38" t="s">
        <v>39</v>
      </c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8" t="s">
        <v>40</v>
      </c>
      <c r="H29" s="35"/>
      <c r="I29" s="38" t="s">
        <v>6</v>
      </c>
      <c r="J29" s="35"/>
      <c r="K29" s="41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f>+C9/C3</f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6" t="s">
        <v>22</v>
      </c>
      <c r="B1" s="47"/>
      <c r="C1" s="47"/>
      <c r="D1" s="48"/>
      <c r="E1" s="46" t="s">
        <v>19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7500000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32</v>
      </c>
      <c r="C4" s="13">
        <v>6000000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-7500000</v>
      </c>
      <c r="L5" s="20">
        <f>+C6</f>
        <v>0</v>
      </c>
      <c r="M5" s="19"/>
      <c r="N5" s="21">
        <f>SUM(J5:M5)</f>
        <v>-7500000</v>
      </c>
      <c r="O5" s="15">
        <f t="shared" ref="O5:O20" si="0">+N5/(1+$C$28)^F5</f>
        <v>-7500000</v>
      </c>
      <c r="P5" s="12"/>
    </row>
    <row r="6" spans="1:16" x14ac:dyDescent="0.25">
      <c r="A6" s="24"/>
      <c r="B6" s="25" t="s">
        <v>31</v>
      </c>
      <c r="C6" s="13"/>
      <c r="D6" s="26"/>
      <c r="E6" s="11"/>
      <c r="F6" s="11">
        <f>+F5+1</f>
        <v>1</v>
      </c>
      <c r="G6" s="18">
        <f>+C9</f>
        <v>750000</v>
      </c>
      <c r="H6" s="18">
        <f>-C12</f>
        <v>-150000</v>
      </c>
      <c r="I6" s="18"/>
      <c r="J6" s="18">
        <f>SUM(G6:I6)</f>
        <v>600000</v>
      </c>
      <c r="K6" s="18"/>
      <c r="L6" s="18">
        <f>-$C$6*$C$7</f>
        <v>0</v>
      </c>
      <c r="M6" s="18"/>
      <c r="N6" s="21">
        <f>SUM(J6:M6)</f>
        <v>600000</v>
      </c>
      <c r="O6" s="15">
        <f t="shared" si="0"/>
        <v>571428.57142857136</v>
      </c>
      <c r="P6" s="12"/>
    </row>
    <row r="7" spans="1:16" x14ac:dyDescent="0.25">
      <c r="A7" s="24"/>
      <c r="B7" s="25" t="s">
        <v>27</v>
      </c>
      <c r="C7" s="14"/>
      <c r="D7" s="26"/>
      <c r="E7" s="11"/>
      <c r="F7" s="11">
        <f>+F6+1</f>
        <v>2</v>
      </c>
      <c r="G7" s="18">
        <f t="shared" ref="G7:G20" si="1">+G6*(1+$C$10)</f>
        <v>765000</v>
      </c>
      <c r="H7" s="18">
        <f t="shared" ref="H7:H20" si="2">+H6*(1+$C$13)</f>
        <v>-163822.5321936227</v>
      </c>
      <c r="I7" s="18"/>
      <c r="J7" s="18">
        <f t="shared" ref="J7:J20" si="3">SUM(G7:I7)</f>
        <v>601177.46780637733</v>
      </c>
      <c r="K7" s="18"/>
      <c r="L7" s="18">
        <f t="shared" ref="L7:L19" si="4">-$C$6*$C$7</f>
        <v>0</v>
      </c>
      <c r="M7" s="18"/>
      <c r="N7" s="21">
        <f t="shared" ref="N7:N20" si="5">SUM(J7:M7)</f>
        <v>601177.46780637733</v>
      </c>
      <c r="O7" s="15">
        <f t="shared" si="0"/>
        <v>545285.68508514948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20" si="6">+F7+1</f>
        <v>3</v>
      </c>
      <c r="G8" s="18">
        <f t="shared" si="1"/>
        <v>780300</v>
      </c>
      <c r="H8" s="18">
        <f t="shared" si="2"/>
        <v>-178918.81369553696</v>
      </c>
      <c r="I8" s="18">
        <v>-250000</v>
      </c>
      <c r="J8" s="18">
        <f t="shared" si="3"/>
        <v>351381.18630446307</v>
      </c>
      <c r="K8" s="18"/>
      <c r="L8" s="18">
        <f t="shared" si="4"/>
        <v>0</v>
      </c>
      <c r="M8" s="18"/>
      <c r="N8" s="21">
        <f t="shared" si="5"/>
        <v>351381.18630446307</v>
      </c>
      <c r="O8" s="15">
        <f t="shared" si="0"/>
        <v>303536.28014638857</v>
      </c>
      <c r="P8" s="12"/>
    </row>
    <row r="9" spans="1:16" x14ac:dyDescent="0.25">
      <c r="A9" s="24"/>
      <c r="B9" s="25" t="s">
        <v>18</v>
      </c>
      <c r="C9" s="13">
        <v>750000</v>
      </c>
      <c r="D9" s="26"/>
      <c r="E9" s="11"/>
      <c r="F9" s="11">
        <f t="shared" si="6"/>
        <v>4</v>
      </c>
      <c r="G9" s="18">
        <f t="shared" si="1"/>
        <v>795906</v>
      </c>
      <c r="H9" s="18">
        <f t="shared" si="2"/>
        <v>-195406.22077787924</v>
      </c>
      <c r="I9" s="18"/>
      <c r="J9" s="18">
        <f t="shared" si="3"/>
        <v>600499.77922212076</v>
      </c>
      <c r="K9" s="18"/>
      <c r="L9" s="18">
        <f t="shared" si="4"/>
        <v>0</v>
      </c>
      <c r="M9" s="18"/>
      <c r="N9" s="21">
        <f t="shared" si="5"/>
        <v>600499.77922212076</v>
      </c>
      <c r="O9" s="15">
        <f t="shared" si="0"/>
        <v>494032.65447801747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811824.12</v>
      </c>
      <c r="H10" s="18">
        <f t="shared" si="2"/>
        <v>-213412.94596145509</v>
      </c>
      <c r="I10" s="18">
        <v>-1000000</v>
      </c>
      <c r="J10" s="18">
        <f t="shared" si="3"/>
        <v>-401588.82596145512</v>
      </c>
      <c r="K10" s="18"/>
      <c r="L10" s="18">
        <f t="shared" si="4"/>
        <v>0</v>
      </c>
      <c r="M10" s="18"/>
      <c r="N10" s="21">
        <f t="shared" si="5"/>
        <v>-401588.82596145512</v>
      </c>
      <c r="O10" s="15">
        <f t="shared" si="0"/>
        <v>-314655.35330214805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828060.60239999997</v>
      </c>
      <c r="H11" s="18">
        <f t="shared" si="2"/>
        <v>-233078.99473537557</v>
      </c>
      <c r="I11" s="18"/>
      <c r="J11" s="18">
        <f t="shared" si="3"/>
        <v>594981.60766462446</v>
      </c>
      <c r="K11" s="18"/>
      <c r="L11" s="18">
        <f t="shared" si="4"/>
        <v>0</v>
      </c>
      <c r="M11" s="18"/>
      <c r="N11" s="21">
        <f t="shared" si="5"/>
        <v>594981.60766462446</v>
      </c>
      <c r="O11" s="15">
        <f t="shared" si="0"/>
        <v>443984.43635495612</v>
      </c>
      <c r="P11" s="12"/>
    </row>
    <row r="12" spans="1:16" x14ac:dyDescent="0.25">
      <c r="A12" s="24"/>
      <c r="B12" s="25" t="s">
        <v>1</v>
      </c>
      <c r="C12" s="13">
        <v>150000</v>
      </c>
      <c r="D12" s="26"/>
      <c r="E12" s="11"/>
      <c r="F12" s="11">
        <f t="shared" si="6"/>
        <v>7</v>
      </c>
      <c r="G12" s="18">
        <f t="shared" si="1"/>
        <v>844621.81444799993</v>
      </c>
      <c r="H12" s="18">
        <f t="shared" si="2"/>
        <v>-254557.27412462185</v>
      </c>
      <c r="I12" s="18"/>
      <c r="J12" s="18">
        <f t="shared" si="3"/>
        <v>590064.54032337805</v>
      </c>
      <c r="K12" s="18"/>
      <c r="L12" s="18">
        <f t="shared" si="4"/>
        <v>0</v>
      </c>
      <c r="M12" s="18"/>
      <c r="N12" s="21">
        <f t="shared" si="5"/>
        <v>590064.54032337805</v>
      </c>
      <c r="O12" s="15">
        <f t="shared" si="0"/>
        <v>419347.85237963701</v>
      </c>
      <c r="P12" s="12"/>
    </row>
    <row r="13" spans="1:16" x14ac:dyDescent="0.25">
      <c r="A13" s="24"/>
      <c r="B13" s="25" t="s">
        <v>11</v>
      </c>
      <c r="C13" s="44">
        <v>9.2150214624151364E-2</v>
      </c>
      <c r="D13" s="26"/>
      <c r="E13" s="11"/>
      <c r="F13" s="11">
        <f t="shared" si="6"/>
        <v>8</v>
      </c>
      <c r="G13" s="18">
        <f t="shared" si="1"/>
        <v>861514.25073695998</v>
      </c>
      <c r="H13" s="18">
        <f t="shared" si="2"/>
        <v>-278014.78156934469</v>
      </c>
      <c r="I13" s="18">
        <v>-500000</v>
      </c>
      <c r="J13" s="18">
        <f t="shared" si="3"/>
        <v>83499.469167615287</v>
      </c>
      <c r="K13" s="18"/>
      <c r="L13" s="18">
        <f t="shared" si="4"/>
        <v>0</v>
      </c>
      <c r="M13" s="18"/>
      <c r="N13" s="21">
        <f t="shared" si="5"/>
        <v>83499.469167615287</v>
      </c>
      <c r="O13" s="15">
        <f t="shared" si="0"/>
        <v>56515.727441142764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878744.53575169924</v>
      </c>
      <c r="H14" s="18">
        <f t="shared" si="2"/>
        <v>-303633.90335964633</v>
      </c>
      <c r="I14" s="18"/>
      <c r="J14" s="18">
        <f t="shared" si="3"/>
        <v>575110.63239205291</v>
      </c>
      <c r="K14" s="18"/>
      <c r="L14" s="18">
        <f t="shared" si="4"/>
        <v>0</v>
      </c>
      <c r="M14" s="18"/>
      <c r="N14" s="21">
        <f t="shared" si="5"/>
        <v>575110.63239205291</v>
      </c>
      <c r="O14" s="15">
        <f t="shared" si="0"/>
        <v>370721.44145157322</v>
      </c>
      <c r="P14" s="12"/>
    </row>
    <row r="15" spans="1:16" x14ac:dyDescent="0.25">
      <c r="A15" s="24"/>
      <c r="B15" s="25" t="s">
        <v>23</v>
      </c>
      <c r="C15" s="32">
        <f>+C3/(C9-C12)</f>
        <v>12.5</v>
      </c>
      <c r="D15" s="26"/>
      <c r="E15" s="11"/>
      <c r="F15" s="11">
        <f t="shared" si="6"/>
        <v>10</v>
      </c>
      <c r="G15" s="18">
        <f t="shared" si="1"/>
        <v>896319.42646673322</v>
      </c>
      <c r="H15" s="18">
        <f t="shared" si="2"/>
        <v>-331613.83272140654</v>
      </c>
      <c r="I15" s="18"/>
      <c r="J15" s="18">
        <f t="shared" si="3"/>
        <v>564705.59374532662</v>
      </c>
      <c r="K15" s="18"/>
      <c r="L15" s="18">
        <f t="shared" si="4"/>
        <v>0</v>
      </c>
      <c r="M15" s="18"/>
      <c r="N15" s="21">
        <f t="shared" si="5"/>
        <v>564705.59374532662</v>
      </c>
      <c r="O15" s="15">
        <f t="shared" si="0"/>
        <v>346680.24834885972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>
        <f>+F15+1</f>
        <v>11</v>
      </c>
      <c r="G16" s="18">
        <f t="shared" si="1"/>
        <v>914245.8149960679</v>
      </c>
      <c r="H16" s="18">
        <f t="shared" si="2"/>
        <v>-362172.11857902154</v>
      </c>
      <c r="I16" s="18"/>
      <c r="J16" s="18">
        <f t="shared" si="3"/>
        <v>552073.69641704636</v>
      </c>
      <c r="K16" s="18"/>
      <c r="L16" s="18">
        <f t="shared" si="4"/>
        <v>0</v>
      </c>
      <c r="M16" s="18"/>
      <c r="N16" s="21">
        <f t="shared" si="5"/>
        <v>552073.69641704636</v>
      </c>
      <c r="O16" s="15">
        <f t="shared" si="0"/>
        <v>322786.05634444032</v>
      </c>
      <c r="P16" s="12"/>
    </row>
    <row r="17" spans="1:16" x14ac:dyDescent="0.25">
      <c r="A17" s="24"/>
      <c r="B17" s="25"/>
      <c r="C17" s="25"/>
      <c r="D17" s="26"/>
      <c r="E17" s="11"/>
      <c r="F17" s="11">
        <f t="shared" si="6"/>
        <v>12</v>
      </c>
      <c r="G17" s="18">
        <f t="shared" si="1"/>
        <v>932530.73129598924</v>
      </c>
      <c r="H17" s="18">
        <f t="shared" si="2"/>
        <v>-395546.35703696194</v>
      </c>
      <c r="I17" s="18"/>
      <c r="J17" s="18">
        <f t="shared" si="3"/>
        <v>536984.3742590273</v>
      </c>
      <c r="K17" s="18"/>
      <c r="L17" s="18">
        <f t="shared" si="4"/>
        <v>0</v>
      </c>
      <c r="M17" s="18"/>
      <c r="N17" s="21">
        <f t="shared" si="5"/>
        <v>536984.3742590273</v>
      </c>
      <c r="O17" s="15">
        <f t="shared" si="0"/>
        <v>299012.99256408913</v>
      </c>
      <c r="P17" s="12"/>
    </row>
    <row r="18" spans="1:16" x14ac:dyDescent="0.25">
      <c r="A18" s="24"/>
      <c r="B18" s="25" t="s">
        <v>28</v>
      </c>
      <c r="C18" s="25"/>
      <c r="D18" s="26"/>
      <c r="E18" s="11"/>
      <c r="F18" s="11">
        <f t="shared" si="6"/>
        <v>13</v>
      </c>
      <c r="G18" s="18">
        <f t="shared" si="1"/>
        <v>951181.34592190909</v>
      </c>
      <c r="H18" s="18">
        <f t="shared" si="2"/>
        <v>-431996.03873171913</v>
      </c>
      <c r="I18" s="18"/>
      <c r="J18" s="18">
        <f t="shared" si="3"/>
        <v>519185.30719018995</v>
      </c>
      <c r="K18" s="18"/>
      <c r="L18" s="18">
        <f t="shared" si="4"/>
        <v>0</v>
      </c>
      <c r="M18" s="18"/>
      <c r="N18" s="21">
        <f t="shared" si="5"/>
        <v>519185.30719018995</v>
      </c>
      <c r="O18" s="15">
        <f t="shared" si="0"/>
        <v>275335.05334429373</v>
      </c>
      <c r="P18" s="12"/>
    </row>
    <row r="19" spans="1:16" x14ac:dyDescent="0.25">
      <c r="A19" s="24"/>
      <c r="B19" s="25" t="s">
        <v>33</v>
      </c>
      <c r="C19" s="31">
        <f>SUM(O6:O20)</f>
        <v>7500000.0000006352</v>
      </c>
      <c r="D19" s="26"/>
      <c r="E19" s="11"/>
      <c r="F19" s="11">
        <f t="shared" si="6"/>
        <v>14</v>
      </c>
      <c r="G19" s="18">
        <f t="shared" si="1"/>
        <v>970204.97284034733</v>
      </c>
      <c r="H19" s="18">
        <f t="shared" si="2"/>
        <v>-471804.56641763024</v>
      </c>
      <c r="I19" s="18"/>
      <c r="J19" s="18">
        <f t="shared" si="3"/>
        <v>498400.40642271709</v>
      </c>
      <c r="K19" s="18"/>
      <c r="L19" s="18">
        <f t="shared" si="4"/>
        <v>0</v>
      </c>
      <c r="M19" s="18"/>
      <c r="N19" s="21">
        <f t="shared" si="5"/>
        <v>498400.40642271709</v>
      </c>
      <c r="O19" s="15">
        <f t="shared" si="0"/>
        <v>251726.07304405636</v>
      </c>
      <c r="P19" s="12"/>
    </row>
    <row r="20" spans="1:16" x14ac:dyDescent="0.25">
      <c r="A20" s="24"/>
      <c r="B20" s="25"/>
      <c r="C20" s="25"/>
      <c r="D20" s="26"/>
      <c r="E20" s="11"/>
      <c r="F20" s="11">
        <f t="shared" si="6"/>
        <v>15</v>
      </c>
      <c r="G20" s="18">
        <f t="shared" si="1"/>
        <v>989609.07229715434</v>
      </c>
      <c r="H20" s="18">
        <f t="shared" si="2"/>
        <v>-515281.45847366948</v>
      </c>
      <c r="I20" s="18"/>
      <c r="J20" s="18">
        <f t="shared" si="3"/>
        <v>474327.61382348486</v>
      </c>
      <c r="K20" s="18"/>
      <c r="L20" s="18">
        <f>-$C$6*$C$7-C6</f>
        <v>0</v>
      </c>
      <c r="M20" s="18">
        <f>+C4</f>
        <v>6000000</v>
      </c>
      <c r="N20" s="21">
        <f t="shared" si="5"/>
        <v>6474327.6138234846</v>
      </c>
      <c r="O20" s="15">
        <f t="shared" si="0"/>
        <v>3114262.280891608</v>
      </c>
      <c r="P20" s="12"/>
    </row>
    <row r="21" spans="1:16" x14ac:dyDescent="0.25">
      <c r="A21" s="24"/>
      <c r="B21" s="25" t="s">
        <v>24</v>
      </c>
      <c r="C21" s="25"/>
      <c r="D21" s="26"/>
      <c r="E21" s="11"/>
      <c r="F21" s="11"/>
      <c r="G21" s="18"/>
      <c r="H21" s="18"/>
      <c r="I21" s="18"/>
      <c r="J21" s="18"/>
      <c r="K21" s="18"/>
      <c r="L21" s="18"/>
      <c r="M21" s="18"/>
      <c r="N21" s="21"/>
      <c r="O21" s="15"/>
      <c r="P21" s="12"/>
    </row>
    <row r="22" spans="1:16" x14ac:dyDescent="0.25">
      <c r="A22" s="24"/>
      <c r="B22" s="25" t="s">
        <v>33</v>
      </c>
      <c r="C22" s="40">
        <f>NPV(C28,N6:N20)+N5</f>
        <v>6.3423067331314087E-7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43" t="s">
        <v>34</v>
      </c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8" t="s">
        <v>35</v>
      </c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33</v>
      </c>
      <c r="C25" s="34">
        <f>IRR(N5:N20,C28)</f>
        <v>5.0000000000008704E-2</v>
      </c>
      <c r="D25" s="26"/>
      <c r="E25" s="11"/>
      <c r="F25" s="25"/>
      <c r="G25" s="38" t="s">
        <v>41</v>
      </c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8" t="s">
        <v>36</v>
      </c>
      <c r="H27" s="35"/>
      <c r="I27" s="38" t="s">
        <v>37</v>
      </c>
      <c r="J27" s="35"/>
      <c r="K27" s="39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8" t="s">
        <v>38</v>
      </c>
      <c r="H28" s="35"/>
      <c r="I28" s="38" t="s">
        <v>39</v>
      </c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8" t="s">
        <v>40</v>
      </c>
      <c r="H29" s="35"/>
      <c r="I29" s="38" t="s">
        <v>43</v>
      </c>
      <c r="J29" s="35"/>
      <c r="K29" s="41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f>+C9/C3</f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6" t="s">
        <v>22</v>
      </c>
      <c r="B1" s="47"/>
      <c r="C1" s="47"/>
      <c r="D1" s="48"/>
      <c r="E1" s="46" t="s">
        <v>19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7500000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32</v>
      </c>
      <c r="C4" s="13">
        <v>6000000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-7500000</v>
      </c>
      <c r="L5" s="20">
        <f>+C6</f>
        <v>5000000</v>
      </c>
      <c r="M5" s="19"/>
      <c r="N5" s="21">
        <f>SUM(J5:M5)</f>
        <v>-2500000</v>
      </c>
      <c r="O5" s="15">
        <f t="shared" ref="O5:O20" si="0">+N5/(1+$C$28)^F5</f>
        <v>-2500000</v>
      </c>
      <c r="P5" s="12"/>
    </row>
    <row r="6" spans="1:16" x14ac:dyDescent="0.25">
      <c r="A6" s="24"/>
      <c r="B6" s="25" t="s">
        <v>31</v>
      </c>
      <c r="C6" s="13">
        <v>5000000</v>
      </c>
      <c r="D6" s="26"/>
      <c r="E6" s="11"/>
      <c r="F6" s="11">
        <f>+F5+1</f>
        <v>1</v>
      </c>
      <c r="G6" s="18">
        <f>+C9</f>
        <v>750000</v>
      </c>
      <c r="H6" s="18">
        <f>-C12</f>
        <v>-150000</v>
      </c>
      <c r="I6" s="18"/>
      <c r="J6" s="18">
        <f>SUM(G6:I6)</f>
        <v>600000</v>
      </c>
      <c r="K6" s="18"/>
      <c r="L6" s="18">
        <f>-$C$6*$C$7</f>
        <v>-377448.36879633833</v>
      </c>
      <c r="M6" s="18"/>
      <c r="N6" s="21">
        <f>SUM(J6:M6)</f>
        <v>222551.63120366167</v>
      </c>
      <c r="O6" s="15">
        <f t="shared" si="0"/>
        <v>211953.93447967779</v>
      </c>
      <c r="P6" s="12"/>
    </row>
    <row r="7" spans="1:16" x14ac:dyDescent="0.25">
      <c r="A7" s="24"/>
      <c r="B7" s="25" t="s">
        <v>27</v>
      </c>
      <c r="C7" s="44">
        <v>7.548967375926767E-2</v>
      </c>
      <c r="D7" s="26"/>
      <c r="E7" s="11"/>
      <c r="F7" s="11">
        <f>+F6+1</f>
        <v>2</v>
      </c>
      <c r="G7" s="18">
        <f t="shared" ref="G7:G20" si="1">+G6*(1+$C$10)</f>
        <v>765000</v>
      </c>
      <c r="H7" s="18">
        <f t="shared" ref="H7:H20" si="2">+H6*(1+$C$13)</f>
        <v>-154500</v>
      </c>
      <c r="I7" s="18"/>
      <c r="J7" s="18">
        <f t="shared" ref="J7:J20" si="3">SUM(G7:I7)</f>
        <v>610500</v>
      </c>
      <c r="K7" s="18"/>
      <c r="L7" s="18">
        <f t="shared" ref="L7:L14" si="4">-$C$6*$C$7</f>
        <v>-377448.36879633833</v>
      </c>
      <c r="M7" s="18"/>
      <c r="N7" s="21">
        <f t="shared" ref="N7:N20" si="5">SUM(J7:M7)</f>
        <v>233051.63120366167</v>
      </c>
      <c r="O7" s="15">
        <f t="shared" si="0"/>
        <v>211384.69950445503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20" si="6">+F7+1</f>
        <v>3</v>
      </c>
      <c r="G8" s="18">
        <f t="shared" si="1"/>
        <v>780300</v>
      </c>
      <c r="H8" s="18">
        <f t="shared" si="2"/>
        <v>-159135</v>
      </c>
      <c r="I8" s="18">
        <v>-250000</v>
      </c>
      <c r="J8" s="18">
        <f t="shared" si="3"/>
        <v>371165</v>
      </c>
      <c r="K8" s="18"/>
      <c r="L8" s="18">
        <f t="shared" si="4"/>
        <v>-377448.36879633833</v>
      </c>
      <c r="M8" s="18"/>
      <c r="N8" s="21">
        <f t="shared" si="5"/>
        <v>-6283.3687963383272</v>
      </c>
      <c r="O8" s="15">
        <f t="shared" si="0"/>
        <v>-5427.8102117165117</v>
      </c>
      <c r="P8" s="12"/>
    </row>
    <row r="9" spans="1:16" x14ac:dyDescent="0.25">
      <c r="A9" s="24"/>
      <c r="B9" s="25" t="s">
        <v>18</v>
      </c>
      <c r="C9" s="13">
        <v>750000</v>
      </c>
      <c r="D9" s="26"/>
      <c r="E9" s="11"/>
      <c r="F9" s="11">
        <f t="shared" si="6"/>
        <v>4</v>
      </c>
      <c r="G9" s="18">
        <f t="shared" si="1"/>
        <v>795906</v>
      </c>
      <c r="H9" s="18">
        <f t="shared" si="2"/>
        <v>-163909.05000000002</v>
      </c>
      <c r="I9" s="18"/>
      <c r="J9" s="18">
        <f t="shared" si="3"/>
        <v>631996.94999999995</v>
      </c>
      <c r="K9" s="18"/>
      <c r="L9" s="18">
        <f t="shared" si="4"/>
        <v>-377448.36879633833</v>
      </c>
      <c r="M9" s="18"/>
      <c r="N9" s="21">
        <f t="shared" si="5"/>
        <v>254548.58120366163</v>
      </c>
      <c r="O9" s="15">
        <f t="shared" si="0"/>
        <v>209417.74771101476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811824.12</v>
      </c>
      <c r="H10" s="18">
        <f t="shared" si="2"/>
        <v>-168826.32150000002</v>
      </c>
      <c r="I10" s="18">
        <v>-1000000</v>
      </c>
      <c r="J10" s="18">
        <f t="shared" si="3"/>
        <v>-357002.20149999997</v>
      </c>
      <c r="K10" s="18"/>
      <c r="L10" s="18">
        <f t="shared" si="4"/>
        <v>-377448.36879633833</v>
      </c>
      <c r="M10" s="18"/>
      <c r="N10" s="21">
        <f t="shared" si="5"/>
        <v>-734450.57029633829</v>
      </c>
      <c r="O10" s="15">
        <f t="shared" si="0"/>
        <v>-575461.23980486335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828060.60239999997</v>
      </c>
      <c r="H11" s="18">
        <f t="shared" si="2"/>
        <v>-173891.11114500003</v>
      </c>
      <c r="I11" s="18"/>
      <c r="J11" s="18">
        <f t="shared" si="3"/>
        <v>654169.491255</v>
      </c>
      <c r="K11" s="18"/>
      <c r="L11" s="18">
        <f t="shared" si="4"/>
        <v>-377448.36879633833</v>
      </c>
      <c r="M11" s="18"/>
      <c r="N11" s="21">
        <f t="shared" si="5"/>
        <v>276721.12245866167</v>
      </c>
      <c r="O11" s="15">
        <f t="shared" si="0"/>
        <v>206493.56215322303</v>
      </c>
      <c r="P11" s="12"/>
    </row>
    <row r="12" spans="1:16" x14ac:dyDescent="0.25">
      <c r="A12" s="24"/>
      <c r="B12" s="25" t="s">
        <v>1</v>
      </c>
      <c r="C12" s="13">
        <v>150000</v>
      </c>
      <c r="D12" s="26"/>
      <c r="E12" s="11"/>
      <c r="F12" s="11">
        <f t="shared" si="6"/>
        <v>7</v>
      </c>
      <c r="G12" s="18">
        <f t="shared" si="1"/>
        <v>844621.81444799993</v>
      </c>
      <c r="H12" s="18">
        <f t="shared" si="2"/>
        <v>-179107.84447935002</v>
      </c>
      <c r="I12" s="18"/>
      <c r="J12" s="18">
        <f t="shared" si="3"/>
        <v>665513.96996864991</v>
      </c>
      <c r="K12" s="18"/>
      <c r="L12" s="18">
        <f t="shared" si="4"/>
        <v>-377448.36879633833</v>
      </c>
      <c r="M12" s="18"/>
      <c r="N12" s="21">
        <f t="shared" si="5"/>
        <v>288065.60117231158</v>
      </c>
      <c r="O12" s="15">
        <f t="shared" si="0"/>
        <v>204722.84460587148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861514.25073695998</v>
      </c>
      <c r="H13" s="18">
        <f t="shared" si="2"/>
        <v>-184481.07981373052</v>
      </c>
      <c r="I13" s="18">
        <v>-500000</v>
      </c>
      <c r="J13" s="18">
        <f t="shared" si="3"/>
        <v>177033.17092322942</v>
      </c>
      <c r="K13" s="18"/>
      <c r="L13" s="18">
        <f t="shared" si="4"/>
        <v>-377448.36879633833</v>
      </c>
      <c r="M13" s="18"/>
      <c r="N13" s="21">
        <f t="shared" si="5"/>
        <v>-200415.1978731089</v>
      </c>
      <c r="O13" s="15">
        <f t="shared" si="0"/>
        <v>-135648.89466928813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878744.53575169924</v>
      </c>
      <c r="H14" s="18">
        <f t="shared" si="2"/>
        <v>-190015.51220814243</v>
      </c>
      <c r="I14" s="18"/>
      <c r="J14" s="18">
        <f t="shared" si="3"/>
        <v>688729.0235435568</v>
      </c>
      <c r="K14" s="18"/>
      <c r="L14" s="18">
        <f t="shared" si="4"/>
        <v>-377448.36879633833</v>
      </c>
      <c r="M14" s="18"/>
      <c r="N14" s="21">
        <f t="shared" si="5"/>
        <v>311280.65474721848</v>
      </c>
      <c r="O14" s="15">
        <f t="shared" si="0"/>
        <v>200654.28549617084</v>
      </c>
      <c r="P14" s="12"/>
    </row>
    <row r="15" spans="1:16" x14ac:dyDescent="0.25">
      <c r="A15" s="24"/>
      <c r="B15" s="25" t="s">
        <v>23</v>
      </c>
      <c r="C15" s="32">
        <f>+C3/(C9-C12)</f>
        <v>12.5</v>
      </c>
      <c r="D15" s="26"/>
      <c r="E15" s="11"/>
      <c r="F15" s="11">
        <f t="shared" si="6"/>
        <v>10</v>
      </c>
      <c r="G15" s="18">
        <f t="shared" si="1"/>
        <v>896319.42646673322</v>
      </c>
      <c r="H15" s="18">
        <f t="shared" si="2"/>
        <v>-195715.97757438672</v>
      </c>
      <c r="I15" s="18"/>
      <c r="J15" s="18">
        <f t="shared" si="3"/>
        <v>700603.44889234647</v>
      </c>
      <c r="K15" s="18"/>
      <c r="L15" s="18">
        <f>-$C$6*$C$7-C6</f>
        <v>-5377448.3687963383</v>
      </c>
      <c r="M15" s="18"/>
      <c r="N15" s="21">
        <f t="shared" si="5"/>
        <v>-4676844.9199039917</v>
      </c>
      <c r="O15" s="15">
        <f t="shared" si="0"/>
        <v>-2871177.0810838314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>
        <f>+F15+1</f>
        <v>11</v>
      </c>
      <c r="G16" s="18">
        <f t="shared" si="1"/>
        <v>914245.8149960679</v>
      </c>
      <c r="H16" s="18">
        <f t="shared" si="2"/>
        <v>-201587.45690161834</v>
      </c>
      <c r="I16" s="18"/>
      <c r="J16" s="18">
        <f t="shared" si="3"/>
        <v>712658.35809444962</v>
      </c>
      <c r="K16" s="18"/>
      <c r="L16" s="18"/>
      <c r="M16" s="18"/>
      <c r="N16" s="21">
        <f t="shared" si="5"/>
        <v>712658.35809444962</v>
      </c>
      <c r="O16" s="15">
        <f t="shared" si="0"/>
        <v>416676.58217217051</v>
      </c>
      <c r="P16" s="12"/>
    </row>
    <row r="17" spans="1:16" x14ac:dyDescent="0.25">
      <c r="A17" s="24"/>
      <c r="B17" s="25"/>
      <c r="C17" s="25"/>
      <c r="D17" s="26"/>
      <c r="E17" s="11"/>
      <c r="F17" s="11">
        <f t="shared" si="6"/>
        <v>12</v>
      </c>
      <c r="G17" s="18">
        <f t="shared" si="1"/>
        <v>932530.73129598924</v>
      </c>
      <c r="H17" s="18">
        <f t="shared" si="2"/>
        <v>-207635.0806086669</v>
      </c>
      <c r="I17" s="18"/>
      <c r="J17" s="18">
        <f t="shared" si="3"/>
        <v>724895.65068732237</v>
      </c>
      <c r="K17" s="18"/>
      <c r="L17" s="18"/>
      <c r="M17" s="18"/>
      <c r="N17" s="21">
        <f t="shared" si="5"/>
        <v>724895.65068732237</v>
      </c>
      <c r="O17" s="15">
        <f t="shared" si="0"/>
        <v>403649.02257687063</v>
      </c>
      <c r="P17" s="12"/>
    </row>
    <row r="18" spans="1:16" x14ac:dyDescent="0.25">
      <c r="A18" s="24"/>
      <c r="B18" s="25" t="s">
        <v>28</v>
      </c>
      <c r="C18" s="25"/>
      <c r="D18" s="26"/>
      <c r="E18" s="11"/>
      <c r="F18" s="11">
        <f t="shared" si="6"/>
        <v>13</v>
      </c>
      <c r="G18" s="18">
        <f t="shared" si="1"/>
        <v>951181.34592190909</v>
      </c>
      <c r="H18" s="18">
        <f t="shared" si="2"/>
        <v>-213864.13302692692</v>
      </c>
      <c r="I18" s="18"/>
      <c r="J18" s="18">
        <f t="shared" si="3"/>
        <v>737317.21289498219</v>
      </c>
      <c r="K18" s="18"/>
      <c r="L18" s="18"/>
      <c r="M18" s="18"/>
      <c r="N18" s="21">
        <f t="shared" si="5"/>
        <v>737317.21289498219</v>
      </c>
      <c r="O18" s="15">
        <f t="shared" si="0"/>
        <v>391015.06019649125</v>
      </c>
      <c r="P18" s="12"/>
    </row>
    <row r="19" spans="1:16" x14ac:dyDescent="0.25">
      <c r="A19" s="24"/>
      <c r="B19" s="25" t="s">
        <v>33</v>
      </c>
      <c r="C19" s="31">
        <f>SUM(O6:O20)</f>
        <v>2500000.0000000009</v>
      </c>
      <c r="D19" s="26"/>
      <c r="E19" s="11"/>
      <c r="F19" s="11">
        <f t="shared" si="6"/>
        <v>14</v>
      </c>
      <c r="G19" s="18">
        <f t="shared" si="1"/>
        <v>970204.97284034733</v>
      </c>
      <c r="H19" s="18">
        <f t="shared" si="2"/>
        <v>-220280.05701773474</v>
      </c>
      <c r="I19" s="18"/>
      <c r="J19" s="18">
        <f t="shared" si="3"/>
        <v>749924.91582261259</v>
      </c>
      <c r="K19" s="18"/>
      <c r="L19" s="18"/>
      <c r="M19" s="18"/>
      <c r="N19" s="21">
        <f t="shared" si="5"/>
        <v>749924.91582261259</v>
      </c>
      <c r="O19" s="15">
        <f t="shared" si="0"/>
        <v>378763.04213486373</v>
      </c>
      <c r="P19" s="12"/>
    </row>
    <row r="20" spans="1:16" x14ac:dyDescent="0.25">
      <c r="A20" s="24"/>
      <c r="B20" s="25"/>
      <c r="C20" s="25"/>
      <c r="D20" s="26"/>
      <c r="E20" s="11"/>
      <c r="F20" s="11">
        <f t="shared" si="6"/>
        <v>15</v>
      </c>
      <c r="G20" s="18">
        <f t="shared" si="1"/>
        <v>989609.07229715434</v>
      </c>
      <c r="H20" s="18">
        <f t="shared" si="2"/>
        <v>-226888.45872826679</v>
      </c>
      <c r="I20" s="18"/>
      <c r="J20" s="18">
        <f t="shared" si="3"/>
        <v>762720.61356888758</v>
      </c>
      <c r="K20" s="18"/>
      <c r="L20" s="18"/>
      <c r="M20" s="18">
        <f>+C4</f>
        <v>6000000</v>
      </c>
      <c r="N20" s="21">
        <f t="shared" si="5"/>
        <v>6762720.6135688871</v>
      </c>
      <c r="O20" s="15">
        <f t="shared" si="0"/>
        <v>3252984.2447388913</v>
      </c>
      <c r="P20" s="12"/>
    </row>
    <row r="21" spans="1:16" x14ac:dyDescent="0.25">
      <c r="A21" s="24"/>
      <c r="B21" s="25" t="s">
        <v>24</v>
      </c>
      <c r="C21" s="25"/>
      <c r="D21" s="26"/>
      <c r="E21" s="11"/>
      <c r="F21" s="11"/>
      <c r="G21" s="18"/>
      <c r="H21" s="18"/>
      <c r="I21" s="18"/>
      <c r="J21" s="18"/>
      <c r="K21" s="18"/>
      <c r="L21" s="18"/>
      <c r="M21" s="18"/>
      <c r="N21" s="21"/>
      <c r="O21" s="15"/>
      <c r="P21" s="12"/>
    </row>
    <row r="22" spans="1:16" x14ac:dyDescent="0.25">
      <c r="A22" s="24"/>
      <c r="B22" s="25" t="s">
        <v>33</v>
      </c>
      <c r="C22" s="40">
        <f>NPV(C28,N6:N20)+N5</f>
        <v>0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43" t="s">
        <v>34</v>
      </c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8" t="s">
        <v>35</v>
      </c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33</v>
      </c>
      <c r="C25" s="34">
        <f>IRR(N5:N20,C28)</f>
        <v>5.0000000000000044E-2</v>
      </c>
      <c r="D25" s="26"/>
      <c r="E25" s="11"/>
      <c r="F25" s="25"/>
      <c r="G25" s="38" t="s">
        <v>41</v>
      </c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8" t="s">
        <v>36</v>
      </c>
      <c r="H27" s="35"/>
      <c r="I27" s="38" t="s">
        <v>37</v>
      </c>
      <c r="J27" s="35"/>
      <c r="K27" s="39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8" t="s">
        <v>38</v>
      </c>
      <c r="H28" s="35"/>
      <c r="I28" s="38" t="s">
        <v>39</v>
      </c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8" t="s">
        <v>40</v>
      </c>
      <c r="H29" s="35"/>
      <c r="I29" s="38" t="s">
        <v>44</v>
      </c>
      <c r="J29" s="35"/>
      <c r="K29" s="41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f>+C9/C3</f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6" t="s">
        <v>22</v>
      </c>
      <c r="B1" s="47"/>
      <c r="C1" s="47"/>
      <c r="D1" s="48"/>
      <c r="E1" s="46" t="s">
        <v>19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7500000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32</v>
      </c>
      <c r="C4" s="13">
        <v>6000000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-7500000</v>
      </c>
      <c r="L5" s="20">
        <f>+C6</f>
        <v>5000000</v>
      </c>
      <c r="M5" s="19"/>
      <c r="N5" s="21">
        <f>SUM(J5:M5)</f>
        <v>-2500000</v>
      </c>
      <c r="O5" s="15">
        <f t="shared" ref="O5:O20" si="0">+N5/(1+$C$28)^F5</f>
        <v>-2500000</v>
      </c>
      <c r="P5" s="12"/>
    </row>
    <row r="6" spans="1:16" x14ac:dyDescent="0.25">
      <c r="A6" s="24"/>
      <c r="B6" s="25" t="s">
        <v>31</v>
      </c>
      <c r="C6" s="13">
        <v>5000000</v>
      </c>
      <c r="D6" s="26"/>
      <c r="E6" s="11"/>
      <c r="F6" s="11">
        <f>+F5+1</f>
        <v>1</v>
      </c>
      <c r="G6" s="18">
        <f>+C9</f>
        <v>779976.29604716448</v>
      </c>
      <c r="H6" s="18">
        <f>-C12</f>
        <v>-150000</v>
      </c>
      <c r="I6" s="18"/>
      <c r="J6" s="18">
        <f>SUM(G6:I6)</f>
        <v>629976.29604716448</v>
      </c>
      <c r="K6" s="18"/>
      <c r="L6" s="18">
        <f>-$C$6*$C$7</f>
        <v>-200000</v>
      </c>
      <c r="M6" s="18"/>
      <c r="N6" s="21">
        <f>SUM(J6:M6)</f>
        <v>429976.29604716448</v>
      </c>
      <c r="O6" s="15">
        <f t="shared" si="0"/>
        <v>409501.23433063284</v>
      </c>
      <c r="P6" s="12"/>
    </row>
    <row r="7" spans="1:16" x14ac:dyDescent="0.25">
      <c r="A7" s="24"/>
      <c r="B7" s="25" t="s">
        <v>27</v>
      </c>
      <c r="C7" s="14">
        <v>0.04</v>
      </c>
      <c r="D7" s="26"/>
      <c r="E7" s="11"/>
      <c r="F7" s="11">
        <f>+F6+1</f>
        <v>2</v>
      </c>
      <c r="G7" s="18">
        <f t="shared" ref="G7:G20" si="1">+G6*(1+$C$10)</f>
        <v>795575.82196810783</v>
      </c>
      <c r="H7" s="18">
        <f t="shared" ref="H7:H20" si="2">+H6*(1+$C$13)</f>
        <v>-154500</v>
      </c>
      <c r="I7" s="18"/>
      <c r="J7" s="18">
        <f t="shared" ref="J7:J20" si="3">SUM(G7:I7)</f>
        <v>641075.82196810783</v>
      </c>
      <c r="K7" s="18"/>
      <c r="L7" s="18">
        <f t="shared" ref="L7:L14" si="4">-$C$6*$C$7</f>
        <v>-200000</v>
      </c>
      <c r="M7" s="18"/>
      <c r="N7" s="21">
        <f t="shared" ref="N7:N20" si="5">SUM(J7:M7)</f>
        <v>441075.82196810783</v>
      </c>
      <c r="O7" s="15">
        <f t="shared" si="0"/>
        <v>400068.7727601885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20" si="6">+F7+1</f>
        <v>3</v>
      </c>
      <c r="G8" s="18">
        <f t="shared" si="1"/>
        <v>811487.33840747003</v>
      </c>
      <c r="H8" s="18">
        <f t="shared" si="2"/>
        <v>-159135</v>
      </c>
      <c r="I8" s="18">
        <v>-250000</v>
      </c>
      <c r="J8" s="18">
        <f t="shared" si="3"/>
        <v>402352.33840747003</v>
      </c>
      <c r="K8" s="18"/>
      <c r="L8" s="18">
        <f t="shared" si="4"/>
        <v>-200000</v>
      </c>
      <c r="M8" s="18"/>
      <c r="N8" s="21">
        <f t="shared" si="5"/>
        <v>202352.33840747003</v>
      </c>
      <c r="O8" s="15">
        <f t="shared" si="0"/>
        <v>174799.55806713746</v>
      </c>
      <c r="P8" s="12"/>
    </row>
    <row r="9" spans="1:16" x14ac:dyDescent="0.25">
      <c r="A9" s="24"/>
      <c r="B9" s="25" t="s">
        <v>18</v>
      </c>
      <c r="C9" s="42">
        <v>779976.29604716448</v>
      </c>
      <c r="D9" s="26"/>
      <c r="E9" s="11"/>
      <c r="F9" s="11">
        <f t="shared" si="6"/>
        <v>4</v>
      </c>
      <c r="G9" s="18">
        <f t="shared" si="1"/>
        <v>827717.08517561946</v>
      </c>
      <c r="H9" s="18">
        <f t="shared" si="2"/>
        <v>-163909.05000000002</v>
      </c>
      <c r="I9" s="18"/>
      <c r="J9" s="18">
        <f t="shared" si="3"/>
        <v>663808.03517561941</v>
      </c>
      <c r="K9" s="18"/>
      <c r="L9" s="18">
        <f t="shared" si="4"/>
        <v>-200000</v>
      </c>
      <c r="M9" s="18"/>
      <c r="N9" s="21">
        <f t="shared" si="5"/>
        <v>463808.03517561941</v>
      </c>
      <c r="O9" s="15">
        <f t="shared" si="0"/>
        <v>381576.01836734236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844271.42687913182</v>
      </c>
      <c r="H10" s="18">
        <f t="shared" si="2"/>
        <v>-168826.32150000002</v>
      </c>
      <c r="I10" s="18">
        <v>-1000000</v>
      </c>
      <c r="J10" s="18">
        <f t="shared" si="3"/>
        <v>-324554.89462086814</v>
      </c>
      <c r="K10" s="18"/>
      <c r="L10" s="18">
        <f t="shared" si="4"/>
        <v>-200000</v>
      </c>
      <c r="M10" s="18"/>
      <c r="N10" s="21">
        <f t="shared" si="5"/>
        <v>-524554.89462086814</v>
      </c>
      <c r="O10" s="15">
        <f t="shared" si="0"/>
        <v>-411002.48568455526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861156.85541671445</v>
      </c>
      <c r="H11" s="18">
        <f t="shared" si="2"/>
        <v>-173891.11114500003</v>
      </c>
      <c r="I11" s="18"/>
      <c r="J11" s="18">
        <f t="shared" si="3"/>
        <v>687265.74427171447</v>
      </c>
      <c r="K11" s="18"/>
      <c r="L11" s="18">
        <f t="shared" si="4"/>
        <v>-200000</v>
      </c>
      <c r="M11" s="18"/>
      <c r="N11" s="21">
        <f t="shared" si="5"/>
        <v>487265.74427171447</v>
      </c>
      <c r="O11" s="15">
        <f t="shared" si="0"/>
        <v>363605.20062915899</v>
      </c>
      <c r="P11" s="12"/>
    </row>
    <row r="12" spans="1:16" x14ac:dyDescent="0.25">
      <c r="A12" s="24"/>
      <c r="B12" s="25" t="s">
        <v>1</v>
      </c>
      <c r="C12" s="13">
        <v>150000</v>
      </c>
      <c r="D12" s="26"/>
      <c r="E12" s="11"/>
      <c r="F12" s="11">
        <f t="shared" si="6"/>
        <v>7</v>
      </c>
      <c r="G12" s="18">
        <f t="shared" si="1"/>
        <v>878379.99252504879</v>
      </c>
      <c r="H12" s="18">
        <f t="shared" si="2"/>
        <v>-179107.84447935002</v>
      </c>
      <c r="I12" s="18"/>
      <c r="J12" s="18">
        <f t="shared" si="3"/>
        <v>699272.14804569876</v>
      </c>
      <c r="K12" s="18"/>
      <c r="L12" s="18">
        <f t="shared" si="4"/>
        <v>-200000</v>
      </c>
      <c r="M12" s="18"/>
      <c r="N12" s="21">
        <f t="shared" si="5"/>
        <v>499272.14804569876</v>
      </c>
      <c r="O12" s="15">
        <f t="shared" si="0"/>
        <v>354823.39427004009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895947.59237554972</v>
      </c>
      <c r="H13" s="18">
        <f t="shared" si="2"/>
        <v>-184481.07981373052</v>
      </c>
      <c r="I13" s="18">
        <v>-500000</v>
      </c>
      <c r="J13" s="18">
        <f t="shared" si="3"/>
        <v>211466.51256181917</v>
      </c>
      <c r="K13" s="18"/>
      <c r="L13" s="18">
        <f t="shared" si="4"/>
        <v>-200000</v>
      </c>
      <c r="M13" s="18"/>
      <c r="N13" s="21">
        <f t="shared" si="5"/>
        <v>11466.512561819167</v>
      </c>
      <c r="O13" s="15">
        <f t="shared" si="0"/>
        <v>7760.9870470356127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913866.54422306072</v>
      </c>
      <c r="H14" s="18">
        <f t="shared" si="2"/>
        <v>-190015.51220814243</v>
      </c>
      <c r="I14" s="18"/>
      <c r="J14" s="18">
        <f t="shared" si="3"/>
        <v>723851.03201491828</v>
      </c>
      <c r="K14" s="18"/>
      <c r="L14" s="18">
        <f t="shared" si="4"/>
        <v>-200000</v>
      </c>
      <c r="M14" s="18"/>
      <c r="N14" s="21">
        <f t="shared" si="5"/>
        <v>523851.03201491828</v>
      </c>
      <c r="O14" s="15">
        <f t="shared" si="0"/>
        <v>337679.04600671108</v>
      </c>
      <c r="P14" s="12"/>
    </row>
    <row r="15" spans="1:16" x14ac:dyDescent="0.25">
      <c r="A15" s="24"/>
      <c r="B15" s="25" t="s">
        <v>23</v>
      </c>
      <c r="C15" s="32">
        <f>+C3/(C9-C12)</f>
        <v>11.90520984211523</v>
      </c>
      <c r="D15" s="26"/>
      <c r="E15" s="11"/>
      <c r="F15" s="11">
        <f t="shared" si="6"/>
        <v>10</v>
      </c>
      <c r="G15" s="18">
        <f t="shared" si="1"/>
        <v>932143.87510752189</v>
      </c>
      <c r="H15" s="18">
        <f t="shared" si="2"/>
        <v>-195715.97757438672</v>
      </c>
      <c r="I15" s="18"/>
      <c r="J15" s="18">
        <f t="shared" si="3"/>
        <v>736427.89753313514</v>
      </c>
      <c r="K15" s="18"/>
      <c r="L15" s="18">
        <f>-$C$6*$C$7-C6</f>
        <v>-5200000</v>
      </c>
      <c r="M15" s="18"/>
      <c r="N15" s="21">
        <f t="shared" si="5"/>
        <v>-4463572.1024668645</v>
      </c>
      <c r="O15" s="15">
        <f t="shared" si="0"/>
        <v>-2740246.0718392003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>
        <f>+F15+1</f>
        <v>11</v>
      </c>
      <c r="G16" s="18">
        <f t="shared" si="1"/>
        <v>950786.75260967237</v>
      </c>
      <c r="H16" s="18">
        <f t="shared" si="2"/>
        <v>-201587.45690161834</v>
      </c>
      <c r="I16" s="18"/>
      <c r="J16" s="18">
        <f t="shared" si="3"/>
        <v>749199.29570805398</v>
      </c>
      <c r="K16" s="18"/>
      <c r="L16" s="18"/>
      <c r="M16" s="18"/>
      <c r="N16" s="21">
        <f t="shared" si="5"/>
        <v>749199.29570805398</v>
      </c>
      <c r="O16" s="15">
        <f t="shared" si="0"/>
        <v>438041.31159864459</v>
      </c>
      <c r="P16" s="12"/>
    </row>
    <row r="17" spans="1:16" x14ac:dyDescent="0.25">
      <c r="A17" s="24"/>
      <c r="B17" s="25"/>
      <c r="C17" s="25"/>
      <c r="D17" s="26"/>
      <c r="E17" s="11"/>
      <c r="F17" s="11">
        <f t="shared" si="6"/>
        <v>12</v>
      </c>
      <c r="G17" s="18">
        <f t="shared" si="1"/>
        <v>969802.48766186589</v>
      </c>
      <c r="H17" s="18">
        <f t="shared" si="2"/>
        <v>-207635.0806086669</v>
      </c>
      <c r="I17" s="18"/>
      <c r="J17" s="18">
        <f t="shared" si="3"/>
        <v>762167.40705319901</v>
      </c>
      <c r="K17" s="18"/>
      <c r="L17" s="18"/>
      <c r="M17" s="18"/>
      <c r="N17" s="21">
        <f t="shared" si="5"/>
        <v>762167.40705319901</v>
      </c>
      <c r="O17" s="15">
        <f t="shared" si="0"/>
        <v>424403.33116258838</v>
      </c>
      <c r="P17" s="12"/>
    </row>
    <row r="18" spans="1:16" x14ac:dyDescent="0.25">
      <c r="A18" s="24"/>
      <c r="B18" s="25" t="s">
        <v>28</v>
      </c>
      <c r="C18" s="25"/>
      <c r="D18" s="26"/>
      <c r="E18" s="11"/>
      <c r="F18" s="11">
        <f t="shared" si="6"/>
        <v>13</v>
      </c>
      <c r="G18" s="18">
        <f t="shared" si="1"/>
        <v>989198.53741510317</v>
      </c>
      <c r="H18" s="18">
        <f t="shared" si="2"/>
        <v>-213864.13302692692</v>
      </c>
      <c r="I18" s="18"/>
      <c r="J18" s="18">
        <f t="shared" si="3"/>
        <v>775334.40438817628</v>
      </c>
      <c r="K18" s="18"/>
      <c r="L18" s="18"/>
      <c r="M18" s="18"/>
      <c r="N18" s="21">
        <f t="shared" si="5"/>
        <v>775334.40438817628</v>
      </c>
      <c r="O18" s="15">
        <f t="shared" si="0"/>
        <v>411176.38853690273</v>
      </c>
      <c r="P18" s="12"/>
    </row>
    <row r="19" spans="1:16" x14ac:dyDescent="0.25">
      <c r="A19" s="24"/>
      <c r="B19" s="25" t="s">
        <v>33</v>
      </c>
      <c r="C19" s="31">
        <f>SUM(O6:O20)</f>
        <v>4222544.9731766731</v>
      </c>
      <c r="D19" s="26"/>
      <c r="E19" s="11"/>
      <c r="F19" s="11">
        <f t="shared" si="6"/>
        <v>14</v>
      </c>
      <c r="G19" s="18">
        <f t="shared" si="1"/>
        <v>1008982.5081634052</v>
      </c>
      <c r="H19" s="18">
        <f t="shared" si="2"/>
        <v>-220280.05701773474</v>
      </c>
      <c r="I19" s="18"/>
      <c r="J19" s="18">
        <f t="shared" si="3"/>
        <v>788702.45114567049</v>
      </c>
      <c r="K19" s="18"/>
      <c r="L19" s="18"/>
      <c r="M19" s="18"/>
      <c r="N19" s="21">
        <f t="shared" si="5"/>
        <v>788702.45114567049</v>
      </c>
      <c r="O19" s="15">
        <f t="shared" si="0"/>
        <v>398348.33252269198</v>
      </c>
      <c r="P19" s="12"/>
    </row>
    <row r="20" spans="1:16" x14ac:dyDescent="0.25">
      <c r="A20" s="24"/>
      <c r="B20" s="25"/>
      <c r="C20" s="25"/>
      <c r="D20" s="26"/>
      <c r="E20" s="11"/>
      <c r="F20" s="11">
        <f t="shared" si="6"/>
        <v>15</v>
      </c>
      <c r="G20" s="18">
        <f t="shared" si="1"/>
        <v>1029162.1583266733</v>
      </c>
      <c r="H20" s="18">
        <f t="shared" si="2"/>
        <v>-226888.45872826679</v>
      </c>
      <c r="I20" s="18"/>
      <c r="J20" s="18">
        <f t="shared" si="3"/>
        <v>802273.69959840656</v>
      </c>
      <c r="K20" s="18"/>
      <c r="L20" s="18"/>
      <c r="M20" s="18">
        <f>+C4</f>
        <v>6000000</v>
      </c>
      <c r="N20" s="21">
        <f t="shared" si="5"/>
        <v>6802273.6995984064</v>
      </c>
      <c r="O20" s="15">
        <f t="shared" si="0"/>
        <v>3272009.9554013535</v>
      </c>
      <c r="P20" s="12"/>
    </row>
    <row r="21" spans="1:16" x14ac:dyDescent="0.25">
      <c r="A21" s="24"/>
      <c r="B21" s="25" t="s">
        <v>24</v>
      </c>
      <c r="C21" s="25"/>
      <c r="D21" s="26"/>
      <c r="E21" s="11"/>
      <c r="F21" s="11"/>
      <c r="G21" s="18"/>
      <c r="H21" s="18"/>
      <c r="I21" s="18"/>
      <c r="J21" s="18"/>
      <c r="K21" s="18"/>
      <c r="L21" s="18"/>
      <c r="M21" s="18"/>
      <c r="N21" s="21"/>
      <c r="O21" s="15"/>
      <c r="P21" s="12"/>
    </row>
    <row r="22" spans="1:16" x14ac:dyDescent="0.25">
      <c r="A22" s="24"/>
      <c r="B22" s="25" t="s">
        <v>33</v>
      </c>
      <c r="C22" s="31">
        <f>NPV(C28,N6:N20)+N5</f>
        <v>1722544.9731766712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43" t="s">
        <v>34</v>
      </c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8" t="s">
        <v>35</v>
      </c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33</v>
      </c>
      <c r="C25" s="45">
        <f>IRR(N5:N20,C28)</f>
        <v>0.10010846818744445</v>
      </c>
      <c r="D25" s="26"/>
      <c r="E25" s="11"/>
      <c r="F25" s="25"/>
      <c r="G25" s="38" t="s">
        <v>41</v>
      </c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8" t="s">
        <v>36</v>
      </c>
      <c r="H27" s="35"/>
      <c r="I27" s="38" t="s">
        <v>15</v>
      </c>
      <c r="J27" s="35"/>
      <c r="K27" s="39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8" t="s">
        <v>38</v>
      </c>
      <c r="H28" s="35"/>
      <c r="I28" s="38" t="s">
        <v>45</v>
      </c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8" t="s">
        <v>40</v>
      </c>
      <c r="H29" s="35"/>
      <c r="I29" s="38" t="s">
        <v>46</v>
      </c>
      <c r="J29" s="35"/>
      <c r="K29" s="41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f>+C9/C3</f>
        <v>0.10399683947295527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kasstroom 10 jaar</vt:lpstr>
      <vt:lpstr>kostprijs dekkende huur - uitw</vt:lpstr>
      <vt:lpstr>minimaal ben restwaarde - uitw</vt:lpstr>
      <vt:lpstr>max inflatie exploitat - uitw</vt:lpstr>
      <vt:lpstr>max rente op lening - uitw</vt:lpstr>
      <vt:lpstr>huur bij IRR 10% - uitw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Fieggen</dc:creator>
  <cp:lastModifiedBy>Wim Fieggen</cp:lastModifiedBy>
  <dcterms:created xsi:type="dcterms:W3CDTF">2016-10-23T07:49:41Z</dcterms:created>
  <dcterms:modified xsi:type="dcterms:W3CDTF">2017-02-13T21:56:06Z</dcterms:modified>
</cp:coreProperties>
</file>