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 Fieggen\Box Sync\1_Eendaagse_opleidingen\20171402_Basiscursus Vastgoedrekenen\Uitwerkingen\"/>
    </mc:Choice>
  </mc:AlternateContent>
  <bookViews>
    <workbookView xWindow="0" yWindow="0" windowWidth="28800" windowHeight="12135" activeTab="4"/>
  </bookViews>
  <sheets>
    <sheet name="kasstroom 10 jaar" sheetId="1" r:id="rId1"/>
    <sheet name="kasstroom 10 jaar - A - uitw" sheetId="3" r:id="rId2"/>
    <sheet name="kasstroom 10 jaar - B - uitw" sheetId="8" r:id="rId3"/>
    <sheet name="kasstroom 10 jaar - C - uitw" sheetId="9" r:id="rId4"/>
    <sheet name="kasstroom 10 jaar - C2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0" l="1"/>
  <c r="C19" i="9"/>
  <c r="C19" i="8"/>
  <c r="C19" i="3"/>
  <c r="C19" i="1"/>
  <c r="M15" i="10" l="1"/>
  <c r="M14" i="10"/>
  <c r="M13" i="10"/>
  <c r="M12" i="10"/>
  <c r="M11" i="10"/>
  <c r="M10" i="10"/>
  <c r="M9" i="10"/>
  <c r="M8" i="10"/>
  <c r="M7" i="10"/>
  <c r="G7" i="10"/>
  <c r="G8" i="10" s="1"/>
  <c r="G9" i="10" s="1"/>
  <c r="M6" i="10"/>
  <c r="H6" i="10"/>
  <c r="H7" i="10" s="1"/>
  <c r="F6" i="10"/>
  <c r="F7" i="10" s="1"/>
  <c r="F8" i="10" s="1"/>
  <c r="F9" i="10" s="1"/>
  <c r="F10" i="10" s="1"/>
  <c r="F11" i="10" s="1"/>
  <c r="F12" i="10" s="1"/>
  <c r="F13" i="10" s="1"/>
  <c r="F14" i="10" s="1"/>
  <c r="F15" i="10" s="1"/>
  <c r="M5" i="10"/>
  <c r="J5" i="10"/>
  <c r="K5" i="10" s="1"/>
  <c r="C3" i="10"/>
  <c r="L5" i="10" s="1"/>
  <c r="C3" i="9"/>
  <c r="K5" i="9" s="1"/>
  <c r="J5" i="9"/>
  <c r="I5" i="9"/>
  <c r="L15" i="9"/>
  <c r="L14" i="9"/>
  <c r="L13" i="9"/>
  <c r="L12" i="9"/>
  <c r="L11" i="9"/>
  <c r="L10" i="9"/>
  <c r="L9" i="9"/>
  <c r="L8" i="9"/>
  <c r="L7" i="9"/>
  <c r="L6" i="9"/>
  <c r="H6" i="9"/>
  <c r="H7" i="9" s="1"/>
  <c r="H8" i="9" s="1"/>
  <c r="H9" i="9" s="1"/>
  <c r="H10" i="9" s="1"/>
  <c r="H11" i="9" s="1"/>
  <c r="H12" i="9" s="1"/>
  <c r="H13" i="9" s="1"/>
  <c r="H14" i="9" s="1"/>
  <c r="H15" i="9" s="1"/>
  <c r="G6" i="9"/>
  <c r="G7" i="9" s="1"/>
  <c r="F6" i="9"/>
  <c r="F7" i="9" s="1"/>
  <c r="F8" i="9" s="1"/>
  <c r="F9" i="9" s="1"/>
  <c r="F10" i="9" s="1"/>
  <c r="F11" i="9" s="1"/>
  <c r="F12" i="9" s="1"/>
  <c r="F13" i="9" s="1"/>
  <c r="F14" i="9" s="1"/>
  <c r="F15" i="9" s="1"/>
  <c r="L5" i="9"/>
  <c r="L15" i="8"/>
  <c r="L14" i="8"/>
  <c r="L13" i="8"/>
  <c r="L12" i="8"/>
  <c r="L11" i="8"/>
  <c r="L10" i="8"/>
  <c r="L9" i="8"/>
  <c r="L8" i="8"/>
  <c r="L7" i="8"/>
  <c r="L6" i="8"/>
  <c r="H6" i="8"/>
  <c r="H7" i="8" s="1"/>
  <c r="H8" i="8" s="1"/>
  <c r="H9" i="8" s="1"/>
  <c r="H10" i="8" s="1"/>
  <c r="H11" i="8" s="1"/>
  <c r="H12" i="8" s="1"/>
  <c r="H13" i="8" s="1"/>
  <c r="H14" i="8" s="1"/>
  <c r="H15" i="8" s="1"/>
  <c r="G6" i="8"/>
  <c r="G7" i="8" s="1"/>
  <c r="F6" i="8"/>
  <c r="F7" i="8" s="1"/>
  <c r="F8" i="8" s="1"/>
  <c r="F9" i="8" s="1"/>
  <c r="F10" i="8" s="1"/>
  <c r="F11" i="8" s="1"/>
  <c r="F12" i="8" s="1"/>
  <c r="F13" i="8" s="1"/>
  <c r="F14" i="8" s="1"/>
  <c r="F15" i="8" s="1"/>
  <c r="L5" i="8"/>
  <c r="K5" i="8"/>
  <c r="I5" i="8"/>
  <c r="J5" i="8" s="1"/>
  <c r="N5" i="8" s="1"/>
  <c r="C3" i="8"/>
  <c r="C15" i="8" s="1"/>
  <c r="J5" i="3"/>
  <c r="C3" i="3"/>
  <c r="I5" i="3"/>
  <c r="O5" i="10" l="1"/>
  <c r="P5" i="10" s="1"/>
  <c r="C15" i="10"/>
  <c r="H8" i="10"/>
  <c r="H9" i="10" s="1"/>
  <c r="H10" i="10" s="1"/>
  <c r="H11" i="10" s="1"/>
  <c r="H12" i="10" s="1"/>
  <c r="H13" i="10" s="1"/>
  <c r="H14" i="10" s="1"/>
  <c r="H15" i="10" s="1"/>
  <c r="K7" i="10"/>
  <c r="O7" i="10" s="1"/>
  <c r="P7" i="10" s="1"/>
  <c r="K6" i="10"/>
  <c r="O6" i="10" s="1"/>
  <c r="P6" i="10" s="1"/>
  <c r="G10" i="10"/>
  <c r="C15" i="9"/>
  <c r="N5" i="9"/>
  <c r="O5" i="9" s="1"/>
  <c r="G8" i="9"/>
  <c r="J7" i="9"/>
  <c r="N7" i="9" s="1"/>
  <c r="O7" i="9" s="1"/>
  <c r="J6" i="9"/>
  <c r="N6" i="9" s="1"/>
  <c r="O6" i="9" s="1"/>
  <c r="O5" i="8"/>
  <c r="J7" i="8"/>
  <c r="N7" i="8" s="1"/>
  <c r="O7" i="8" s="1"/>
  <c r="G8" i="8"/>
  <c r="J6" i="8"/>
  <c r="N6" i="8" s="1"/>
  <c r="O6" i="8" s="1"/>
  <c r="C15" i="3"/>
  <c r="G6" i="1"/>
  <c r="G7" i="1" s="1"/>
  <c r="G8" i="1" s="1"/>
  <c r="G9" i="1" s="1"/>
  <c r="G10" i="1" s="1"/>
  <c r="G11" i="1" s="1"/>
  <c r="G12" i="1" s="1"/>
  <c r="G13" i="1" s="1"/>
  <c r="G14" i="1" s="1"/>
  <c r="G15" i="1" s="1"/>
  <c r="C4" i="1" s="1"/>
  <c r="H6" i="1"/>
  <c r="H7" i="1"/>
  <c r="H8" i="1"/>
  <c r="H9" i="1"/>
  <c r="H10" i="1" s="1"/>
  <c r="H11" i="1" s="1"/>
  <c r="H12" i="1" s="1"/>
  <c r="H13" i="1" s="1"/>
  <c r="H14" i="1" s="1"/>
  <c r="H15" i="1" s="1"/>
  <c r="K5" i="1"/>
  <c r="L9" i="3"/>
  <c r="L15" i="3"/>
  <c r="L14" i="3"/>
  <c r="L11" i="3"/>
  <c r="L10" i="3"/>
  <c r="L8" i="3"/>
  <c r="L7" i="3"/>
  <c r="L6" i="3"/>
  <c r="H6" i="3"/>
  <c r="H7" i="3" s="1"/>
  <c r="H8" i="3" s="1"/>
  <c r="H9" i="3" s="1"/>
  <c r="H10" i="3" s="1"/>
  <c r="H11" i="3" s="1"/>
  <c r="H12" i="3" s="1"/>
  <c r="H13" i="3" s="1"/>
  <c r="H14" i="3" s="1"/>
  <c r="H15" i="3" s="1"/>
  <c r="G6" i="3"/>
  <c r="G7" i="3" s="1"/>
  <c r="F6" i="3"/>
  <c r="F7" i="3" s="1"/>
  <c r="F8" i="3" s="1"/>
  <c r="F9" i="3" s="1"/>
  <c r="F10" i="3" s="1"/>
  <c r="F11" i="3" s="1"/>
  <c r="F12" i="3" s="1"/>
  <c r="F13" i="3" s="1"/>
  <c r="F14" i="3" s="1"/>
  <c r="F15" i="3" s="1"/>
  <c r="L5" i="3"/>
  <c r="K8" i="10" l="1"/>
  <c r="O8" i="10" s="1"/>
  <c r="P8" i="10" s="1"/>
  <c r="K9" i="10"/>
  <c r="O9" i="10" s="1"/>
  <c r="P9" i="10" s="1"/>
  <c r="K10" i="10"/>
  <c r="O10" i="10" s="1"/>
  <c r="G11" i="10"/>
  <c r="J8" i="9"/>
  <c r="N8" i="9" s="1"/>
  <c r="G9" i="9"/>
  <c r="J8" i="8"/>
  <c r="N8" i="8" s="1"/>
  <c r="G9" i="8"/>
  <c r="K5" i="3"/>
  <c r="N5" i="3" s="1"/>
  <c r="O5" i="3" s="1"/>
  <c r="L12" i="3"/>
  <c r="L13" i="3"/>
  <c r="G8" i="3"/>
  <c r="J7" i="3"/>
  <c r="N7" i="3" s="1"/>
  <c r="O7" i="3" s="1"/>
  <c r="J6" i="3"/>
  <c r="N6" i="3" s="1"/>
  <c r="O6" i="3" s="1"/>
  <c r="P10" i="10" l="1"/>
  <c r="K11" i="10"/>
  <c r="O11" i="10" s="1"/>
  <c r="P11" i="10" s="1"/>
  <c r="G12" i="10"/>
  <c r="J9" i="9"/>
  <c r="N9" i="9" s="1"/>
  <c r="O9" i="9" s="1"/>
  <c r="G10" i="9"/>
  <c r="O8" i="9"/>
  <c r="O8" i="8"/>
  <c r="J9" i="8"/>
  <c r="N9" i="8" s="1"/>
  <c r="O9" i="8" s="1"/>
  <c r="G10" i="8"/>
  <c r="J8" i="3"/>
  <c r="N8" i="3" s="1"/>
  <c r="G9" i="3"/>
  <c r="K12" i="10" l="1"/>
  <c r="O12" i="10" s="1"/>
  <c r="P12" i="10" s="1"/>
  <c r="G13" i="10"/>
  <c r="J10" i="9"/>
  <c r="N10" i="9" s="1"/>
  <c r="G11" i="9"/>
  <c r="J10" i="8"/>
  <c r="N10" i="8" s="1"/>
  <c r="G11" i="8"/>
  <c r="J9" i="3"/>
  <c r="N9" i="3" s="1"/>
  <c r="O9" i="3" s="1"/>
  <c r="G10" i="3"/>
  <c r="O8" i="3"/>
  <c r="G14" i="10" l="1"/>
  <c r="K13" i="10"/>
  <c r="O13" i="10" s="1"/>
  <c r="J11" i="9"/>
  <c r="N11" i="9" s="1"/>
  <c r="O11" i="9" s="1"/>
  <c r="G12" i="9"/>
  <c r="O10" i="9"/>
  <c r="J11" i="8"/>
  <c r="N11" i="8" s="1"/>
  <c r="G12" i="8"/>
  <c r="O10" i="8"/>
  <c r="J10" i="3"/>
  <c r="N10" i="3" s="1"/>
  <c r="G11" i="3"/>
  <c r="G15" i="10" l="1"/>
  <c r="K14" i="10"/>
  <c r="O14" i="10" s="1"/>
  <c r="P13" i="10"/>
  <c r="G13" i="9"/>
  <c r="J12" i="9"/>
  <c r="N12" i="9" s="1"/>
  <c r="G13" i="8"/>
  <c r="J12" i="8"/>
  <c r="N12" i="8" s="1"/>
  <c r="O11" i="8"/>
  <c r="J11" i="3"/>
  <c r="N11" i="3" s="1"/>
  <c r="G12" i="3"/>
  <c r="O10" i="3"/>
  <c r="C4" i="10" l="1"/>
  <c r="N15" i="10" s="1"/>
  <c r="K15" i="10"/>
  <c r="O15" i="10" s="1"/>
  <c r="P15" i="10" s="1"/>
  <c r="P14" i="10"/>
  <c r="C25" i="10"/>
  <c r="O12" i="9"/>
  <c r="G14" i="9"/>
  <c r="J13" i="9"/>
  <c r="N13" i="9" s="1"/>
  <c r="O13" i="9" s="1"/>
  <c r="O12" i="8"/>
  <c r="G14" i="8"/>
  <c r="J13" i="8"/>
  <c r="N13" i="8" s="1"/>
  <c r="O11" i="3"/>
  <c r="J12" i="3"/>
  <c r="N12" i="3" s="1"/>
  <c r="O12" i="3" s="1"/>
  <c r="G13" i="3"/>
  <c r="C22" i="10" l="1"/>
  <c r="G15" i="9"/>
  <c r="J14" i="9"/>
  <c r="N14" i="9" s="1"/>
  <c r="G15" i="8"/>
  <c r="J14" i="8"/>
  <c r="N14" i="8" s="1"/>
  <c r="O13" i="8"/>
  <c r="G14" i="3"/>
  <c r="J13" i="3"/>
  <c r="N13" i="3" s="1"/>
  <c r="O13" i="3" s="1"/>
  <c r="O14" i="9" l="1"/>
  <c r="C4" i="9"/>
  <c r="M15" i="9" s="1"/>
  <c r="J15" i="9"/>
  <c r="O14" i="8"/>
  <c r="C4" i="8"/>
  <c r="M15" i="8" s="1"/>
  <c r="J15" i="8"/>
  <c r="N15" i="8" s="1"/>
  <c r="G15" i="3"/>
  <c r="J14" i="3"/>
  <c r="N14" i="3" s="1"/>
  <c r="O14" i="3" s="1"/>
  <c r="N15" i="9" l="1"/>
  <c r="O15" i="8"/>
  <c r="C25" i="8"/>
  <c r="C22" i="8"/>
  <c r="J15" i="3"/>
  <c r="N15" i="3" s="1"/>
  <c r="C4" i="3"/>
  <c r="M15" i="3" s="1"/>
  <c r="O15" i="9" l="1"/>
  <c r="C22" i="9"/>
  <c r="C25" i="9"/>
  <c r="O15" i="3"/>
  <c r="C25" i="3"/>
  <c r="C22" i="3"/>
  <c r="M15" i="1" l="1"/>
  <c r="L15" i="1"/>
  <c r="C15" i="1" l="1"/>
  <c r="L7" i="1"/>
  <c r="L8" i="1"/>
  <c r="L9" i="1"/>
  <c r="L10" i="1"/>
  <c r="L11" i="1"/>
  <c r="L12" i="1"/>
  <c r="L13" i="1"/>
  <c r="L14" i="1"/>
  <c r="L6" i="1"/>
  <c r="L5" i="1" l="1"/>
  <c r="N5" i="1" l="1"/>
  <c r="F6" i="1"/>
  <c r="O5" i="1" l="1"/>
  <c r="J6" i="1"/>
  <c r="N6" i="1" l="1"/>
  <c r="J7" i="1"/>
  <c r="N7" i="1" s="1"/>
  <c r="J8" i="1"/>
  <c r="N8" i="1" s="1"/>
  <c r="J9" i="1" l="1"/>
  <c r="N9" i="1" s="1"/>
  <c r="J10" i="1" l="1"/>
  <c r="N10" i="1" s="1"/>
  <c r="J11" i="1" l="1"/>
  <c r="N11" i="1" s="1"/>
  <c r="J12" i="1" l="1"/>
  <c r="N12" i="1" s="1"/>
  <c r="J13" i="1" l="1"/>
  <c r="N13" i="1" s="1"/>
  <c r="J15" i="1" l="1"/>
  <c r="N15" i="1" s="1"/>
  <c r="J14" i="1"/>
  <c r="F7" i="1" l="1"/>
  <c r="O6" i="1"/>
  <c r="F8" i="1" l="1"/>
  <c r="O7" i="1"/>
  <c r="F9" i="1" l="1"/>
  <c r="O8" i="1"/>
  <c r="F10" i="1" l="1"/>
  <c r="O9" i="1"/>
  <c r="F11" i="1" l="1"/>
  <c r="O10" i="1"/>
  <c r="F12" i="1" l="1"/>
  <c r="O11" i="1"/>
  <c r="F13" i="1" l="1"/>
  <c r="O12" i="1"/>
  <c r="F14" i="1" l="1"/>
  <c r="F15" i="1" s="1"/>
  <c r="O13" i="1"/>
  <c r="O15" i="1" l="1"/>
  <c r="N14" i="1"/>
  <c r="C22" i="1" l="1"/>
  <c r="C25" i="1"/>
  <c r="O14" i="1"/>
</calcChain>
</file>

<file path=xl/sharedStrings.xml><?xml version="1.0" encoding="utf-8"?>
<sst xmlns="http://schemas.openxmlformats.org/spreadsheetml/2006/main" count="204" uniqueCount="54">
  <si>
    <t>jaar</t>
  </si>
  <si>
    <t>exploitatiekosten</t>
  </si>
  <si>
    <t>exploitatie</t>
  </si>
  <si>
    <t>kosten</t>
  </si>
  <si>
    <t>groot</t>
  </si>
  <si>
    <t>onderhoud</t>
  </si>
  <si>
    <t>restwaarde</t>
  </si>
  <si>
    <t>investering</t>
  </si>
  <si>
    <t>saldo</t>
  </si>
  <si>
    <t>netto</t>
  </si>
  <si>
    <t>opbrengsten</t>
  </si>
  <si>
    <t>inflatie</t>
  </si>
  <si>
    <t>indexering</t>
  </si>
  <si>
    <t>WACC/</t>
  </si>
  <si>
    <t>BAR</t>
  </si>
  <si>
    <t>IRR</t>
  </si>
  <si>
    <t>totale investering</t>
  </si>
  <si>
    <t>(huur)</t>
  </si>
  <si>
    <t>(huur) opbrengsten</t>
  </si>
  <si>
    <t>Kasstroomschema</t>
  </si>
  <si>
    <t>huidige</t>
  </si>
  <si>
    <t>waarde</t>
  </si>
  <si>
    <t>Gegevens / Berekeningen</t>
  </si>
  <si>
    <t>Terugverdientijd</t>
  </si>
  <si>
    <t>Netto contante waarde</t>
  </si>
  <si>
    <t>Discontovoet</t>
  </si>
  <si>
    <t>financiering</t>
  </si>
  <si>
    <t>rentepercentage</t>
  </si>
  <si>
    <t>Som huidige waarde</t>
  </si>
  <si>
    <t>restwaarde na 10 jaar</t>
  </si>
  <si>
    <t>10 jaar</t>
  </si>
  <si>
    <t>lening</t>
  </si>
  <si>
    <t>Investeer bij aankoop van het gebouw gelijk in duurzaamheid.</t>
  </si>
  <si>
    <t>Trek al het groot onderhoud naar voren en investeer daarboven nog eens EUR 300.000</t>
  </si>
  <si>
    <t>De BNG bank stimuleert investeringen in duurzaamheid</t>
  </si>
  <si>
    <t>De totale meerinvestering kan geleend worden tegen een rente van 2,5%</t>
  </si>
  <si>
    <t>Na 10 jaar moet deze lening in zijn geheel worden afgelost</t>
  </si>
  <si>
    <t>A)</t>
  </si>
  <si>
    <t>B)</t>
  </si>
  <si>
    <t>Bespaar daarmee op de exploitatiekosten (energie + ander zaken) EUR 50.000</t>
  </si>
  <si>
    <t>Doen ?</t>
  </si>
  <si>
    <t>Het groot onderhoud valt daardoor overigens 10% goedkoper uit</t>
  </si>
  <si>
    <t>loonkosten</t>
  </si>
  <si>
    <t>Nee, de netto contante waarde valt nog steeds lager uit</t>
  </si>
  <si>
    <t>Nee, op basis van de cijfers valt de netto contante waarde lager uit</t>
  </si>
  <si>
    <t>omdat de netto contante waarde nog steeds positief is.</t>
  </si>
  <si>
    <t>Met doelzoeken bepalen welke huur gevraagd moet worden.</t>
  </si>
  <si>
    <t>Huurder moet iets meer dan 50.000 euro meer huur betalen</t>
  </si>
  <si>
    <t>Per saldo zou de huurder er 125.000 euro op vooruit gaan.</t>
  </si>
  <si>
    <t>en heeft zelf een voordeel op loonkosten van 175.000 euro.</t>
  </si>
  <si>
    <t>Voor een eigenaar/gebruiker is dit  wel interressant zie volgende sheet</t>
  </si>
  <si>
    <t>voordeel</t>
  </si>
  <si>
    <t>Uit hoofde duurzaamheid kan de overweging eventueel wel gemaakt worden,</t>
  </si>
  <si>
    <t>Grote kans dat dit lukt.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</si>
</sst>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166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166" fontId="0" fillId="2" borderId="0" xfId="1" applyNumberFormat="1" applyFont="1" applyFill="1" applyBorder="1"/>
    <xf numFmtId="164" fontId="0" fillId="2" borderId="0" xfId="2" applyNumberFormat="1" applyFont="1" applyFill="1" applyBorder="1"/>
    <xf numFmtId="6" fontId="0" fillId="2" borderId="0" xfId="0" applyNumberFormat="1" applyFill="1" applyBorder="1"/>
    <xf numFmtId="0" fontId="0" fillId="2" borderId="10" xfId="0" applyFill="1" applyBorder="1"/>
    <xf numFmtId="0" fontId="0" fillId="2" borderId="4" xfId="0" applyFill="1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166" fontId="0" fillId="2" borderId="10" xfId="1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164" fontId="0" fillId="3" borderId="0" xfId="2" applyNumberFormat="1" applyFont="1" applyFill="1" applyBorder="1"/>
    <xf numFmtId="6" fontId="0" fillId="3" borderId="0" xfId="0" applyNumberFormat="1" applyFill="1" applyBorder="1"/>
    <xf numFmtId="165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166" fontId="0" fillId="4" borderId="0" xfId="1" applyNumberFormat="1" applyFont="1" applyFill="1" applyBorder="1" applyAlignment="1">
      <alignment horizontal="right"/>
    </xf>
    <xf numFmtId="166" fontId="0" fillId="4" borderId="0" xfId="0" applyNumberFormat="1" applyFill="1" applyBorder="1"/>
    <xf numFmtId="6" fontId="0" fillId="4" borderId="0" xfId="0" applyNumberFormat="1" applyFill="1" applyBorder="1"/>
    <xf numFmtId="166" fontId="0" fillId="4" borderId="0" xfId="1" applyNumberFormat="1" applyFont="1" applyFill="1" applyBorder="1" applyAlignment="1">
      <alignment horizontal="left"/>
    </xf>
    <xf numFmtId="166" fontId="0" fillId="6" borderId="0" xfId="1" applyNumberFormat="1" applyFont="1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right"/>
    </xf>
    <xf numFmtId="166" fontId="0" fillId="4" borderId="0" xfId="1" applyNumberFormat="1" applyFont="1" applyFill="1" applyAlignment="1">
      <alignment horizontal="left"/>
    </xf>
    <xf numFmtId="0" fontId="0" fillId="6" borderId="0" xfId="0" applyFill="1" applyAlignment="1">
      <alignment horizontal="right"/>
    </xf>
    <xf numFmtId="166" fontId="0" fillId="6" borderId="0" xfId="1" applyNumberFormat="1" applyFont="1" applyFill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5" t="s">
        <v>22</v>
      </c>
      <c r="B1" s="46"/>
      <c r="C1" s="46"/>
      <c r="D1" s="47"/>
      <c r="E1" s="45" t="s">
        <v>19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7500000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29</v>
      </c>
      <c r="C4" s="13">
        <f>+G15/C30</f>
        <v>8963194.2646673322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-7500000</v>
      </c>
      <c r="L5" s="20">
        <f>+C6</f>
        <v>0</v>
      </c>
      <c r="M5" s="19"/>
      <c r="N5" s="21">
        <f>SUM(J5:M5)</f>
        <v>-7500000</v>
      </c>
      <c r="O5" s="15">
        <f t="shared" ref="O5:O15" si="0">+N5/(1+$C$28)^F5</f>
        <v>-7500000</v>
      </c>
      <c r="P5" s="12"/>
    </row>
    <row r="6" spans="1:16" x14ac:dyDescent="0.25">
      <c r="A6" s="24"/>
      <c r="B6" s="25" t="s">
        <v>31</v>
      </c>
      <c r="C6" s="13">
        <v>0</v>
      </c>
      <c r="D6" s="26"/>
      <c r="E6" s="11"/>
      <c r="F6" s="11">
        <f>+F5+1</f>
        <v>1</v>
      </c>
      <c r="G6" s="18">
        <f>+C9</f>
        <v>750000</v>
      </c>
      <c r="H6" s="18">
        <f>-C12</f>
        <v>-150000</v>
      </c>
      <c r="I6" s="18"/>
      <c r="J6" s="18">
        <f>SUM(G6:I6)</f>
        <v>600000</v>
      </c>
      <c r="K6" s="18"/>
      <c r="L6" s="18">
        <f>-$C$6*$C$7</f>
        <v>0</v>
      </c>
      <c r="M6" s="18"/>
      <c r="N6" s="21">
        <f>SUM(J6:M6)</f>
        <v>600000</v>
      </c>
      <c r="O6" s="15">
        <f t="shared" si="0"/>
        <v>571428.57142857136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15" si="1">+G6*(1+$C$10)</f>
        <v>765000</v>
      </c>
      <c r="H7" s="18">
        <f t="shared" ref="H7:H15" si="2">+H6*(1+$C$13)</f>
        <v>-154500</v>
      </c>
      <c r="I7" s="18"/>
      <c r="J7" s="18">
        <f t="shared" ref="J7:J15" si="3">SUM(G7:I7)</f>
        <v>610500</v>
      </c>
      <c r="K7" s="18"/>
      <c r="L7" s="18">
        <f t="shared" ref="L7:L14" si="4">-$C$6*$C$7</f>
        <v>0</v>
      </c>
      <c r="M7" s="18"/>
      <c r="N7" s="21">
        <f t="shared" ref="N7:N15" si="5">SUM(J7:M7)</f>
        <v>610500</v>
      </c>
      <c r="O7" s="15">
        <f t="shared" si="0"/>
        <v>553741.49659863941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780300</v>
      </c>
      <c r="H8" s="18">
        <f t="shared" si="2"/>
        <v>-159135</v>
      </c>
      <c r="I8" s="18">
        <v>-250000</v>
      </c>
      <c r="J8" s="18">
        <f t="shared" si="3"/>
        <v>371165</v>
      </c>
      <c r="K8" s="18"/>
      <c r="L8" s="18">
        <f t="shared" si="4"/>
        <v>0</v>
      </c>
      <c r="M8" s="18"/>
      <c r="N8" s="21">
        <f t="shared" si="5"/>
        <v>371165</v>
      </c>
      <c r="O8" s="15">
        <f t="shared" si="0"/>
        <v>320626.28225893527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-163909.05000000002</v>
      </c>
      <c r="I9" s="18"/>
      <c r="J9" s="18">
        <f t="shared" si="3"/>
        <v>631996.94999999995</v>
      </c>
      <c r="K9" s="18"/>
      <c r="L9" s="18">
        <f t="shared" si="4"/>
        <v>0</v>
      </c>
      <c r="M9" s="18"/>
      <c r="N9" s="21">
        <f t="shared" si="5"/>
        <v>631996.94999999995</v>
      </c>
      <c r="O9" s="15">
        <f t="shared" si="0"/>
        <v>519945.45482592128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-168826.32150000002</v>
      </c>
      <c r="I10" s="18">
        <v>-1000000</v>
      </c>
      <c r="J10" s="18">
        <f t="shared" si="3"/>
        <v>-357002.20149999997</v>
      </c>
      <c r="K10" s="18"/>
      <c r="L10" s="18">
        <f t="shared" si="4"/>
        <v>0</v>
      </c>
      <c r="M10" s="18"/>
      <c r="N10" s="21">
        <f t="shared" si="5"/>
        <v>-357002.20149999997</v>
      </c>
      <c r="O10" s="15">
        <f t="shared" si="0"/>
        <v>-279720.5663620953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-173891.11114500003</v>
      </c>
      <c r="I11" s="18"/>
      <c r="J11" s="18">
        <f t="shared" si="3"/>
        <v>654169.491255</v>
      </c>
      <c r="K11" s="18"/>
      <c r="L11" s="18">
        <f t="shared" si="4"/>
        <v>0</v>
      </c>
      <c r="M11" s="18"/>
      <c r="N11" s="21">
        <f t="shared" si="5"/>
        <v>654169.491255</v>
      </c>
      <c r="O11" s="15">
        <f t="shared" si="0"/>
        <v>488151.34638443077</v>
      </c>
      <c r="P11" s="12"/>
    </row>
    <row r="12" spans="1:16" x14ac:dyDescent="0.25">
      <c r="A12" s="24"/>
      <c r="B12" s="25" t="s">
        <v>1</v>
      </c>
      <c r="C12" s="13">
        <v>150000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-179107.84447935002</v>
      </c>
      <c r="I12" s="18"/>
      <c r="J12" s="18">
        <f t="shared" si="3"/>
        <v>665513.96996864991</v>
      </c>
      <c r="K12" s="18"/>
      <c r="L12" s="18">
        <f t="shared" si="4"/>
        <v>0</v>
      </c>
      <c r="M12" s="18"/>
      <c r="N12" s="21">
        <f t="shared" si="5"/>
        <v>665513.96996864991</v>
      </c>
      <c r="O12" s="15">
        <f t="shared" si="0"/>
        <v>472968.35339749779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-184481.07981373052</v>
      </c>
      <c r="I13" s="18">
        <v>-500000</v>
      </c>
      <c r="J13" s="18">
        <f t="shared" si="3"/>
        <v>177033.17092322942</v>
      </c>
      <c r="K13" s="18"/>
      <c r="L13" s="18">
        <f t="shared" si="4"/>
        <v>0</v>
      </c>
      <c r="M13" s="18"/>
      <c r="N13" s="21">
        <f t="shared" si="5"/>
        <v>177033.17092322942</v>
      </c>
      <c r="O13" s="15">
        <f t="shared" si="0"/>
        <v>119823.01846559414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-190015.51220814243</v>
      </c>
      <c r="I14" s="18"/>
      <c r="J14" s="18">
        <f t="shared" si="3"/>
        <v>688729.0235435568</v>
      </c>
      <c r="K14" s="18"/>
      <c r="L14" s="18">
        <f t="shared" si="4"/>
        <v>0</v>
      </c>
      <c r="M14" s="18"/>
      <c r="N14" s="21">
        <f t="shared" si="5"/>
        <v>688729.0235435568</v>
      </c>
      <c r="O14" s="15">
        <f t="shared" si="0"/>
        <v>443960.86943415395</v>
      </c>
      <c r="P14" s="12"/>
    </row>
    <row r="15" spans="1:16" x14ac:dyDescent="0.25">
      <c r="A15" s="24"/>
      <c r="B15" s="25" t="s">
        <v>23</v>
      </c>
      <c r="C15" s="32">
        <f>+C3/(C9-C12)</f>
        <v>12.5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-195715.97757438672</v>
      </c>
      <c r="I15" s="18"/>
      <c r="J15" s="18">
        <f t="shared" si="3"/>
        <v>700603.44889234647</v>
      </c>
      <c r="K15" s="18"/>
      <c r="L15" s="18">
        <f>-$C$6*$C$7-C6</f>
        <v>0</v>
      </c>
      <c r="M15" s="18">
        <f>+C4</f>
        <v>8963194.2646673322</v>
      </c>
      <c r="N15" s="21">
        <f t="shared" si="5"/>
        <v>9663797.7135596778</v>
      </c>
      <c r="O15" s="15">
        <f t="shared" si="0"/>
        <v>5932733.4958911724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28</v>
      </c>
      <c r="C18" s="25"/>
      <c r="D18" s="26"/>
      <c r="E18" s="11"/>
      <c r="F18" s="25" t="s">
        <v>37</v>
      </c>
      <c r="G18" s="38" t="s">
        <v>32</v>
      </c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30</v>
      </c>
      <c r="C19" s="31">
        <f>SUM(O6:O15)</f>
        <v>9143658.3223228212</v>
      </c>
      <c r="D19" s="26"/>
      <c r="E19" s="11"/>
      <c r="F19" s="25"/>
      <c r="G19" s="38" t="s">
        <v>33</v>
      </c>
      <c r="H19" s="35"/>
      <c r="I19" s="35"/>
      <c r="J19" s="35"/>
      <c r="K19" s="35"/>
      <c r="L19" s="35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42" t="s">
        <v>41</v>
      </c>
      <c r="H20" s="41"/>
      <c r="I20" s="35"/>
      <c r="J20" s="35"/>
      <c r="K20" s="35"/>
      <c r="L20" s="35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38" t="s">
        <v>39</v>
      </c>
      <c r="H21" s="35"/>
      <c r="I21" s="35"/>
      <c r="J21" s="35"/>
      <c r="K21" s="35"/>
      <c r="L21" s="35"/>
      <c r="M21" s="35"/>
      <c r="N21" s="36"/>
      <c r="O21" s="37"/>
      <c r="P21" s="12"/>
    </row>
    <row r="22" spans="1:16" x14ac:dyDescent="0.25">
      <c r="A22" s="24"/>
      <c r="B22" s="25" t="s">
        <v>30</v>
      </c>
      <c r="C22" s="31">
        <f>NPV(C28,N6:N15)+N5</f>
        <v>1643658.3223228194</v>
      </c>
      <c r="D22" s="26"/>
      <c r="E22" s="11"/>
      <c r="F22" s="25"/>
      <c r="G22" s="40" t="s">
        <v>40</v>
      </c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5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 t="s">
        <v>38</v>
      </c>
      <c r="G24" s="38" t="s">
        <v>34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30</v>
      </c>
      <c r="C25" s="34">
        <f>IRR(N5:N15,C28)</f>
        <v>7.6495532101988228E-2</v>
      </c>
      <c r="D25" s="26"/>
      <c r="E25" s="11"/>
      <c r="F25" s="25"/>
      <c r="G25" s="38" t="s">
        <v>35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8" t="s">
        <v>36</v>
      </c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40" t="s">
        <v>40</v>
      </c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5" t="s">
        <v>22</v>
      </c>
      <c r="B1" s="46"/>
      <c r="C1" s="46"/>
      <c r="D1" s="47"/>
      <c r="E1" s="45" t="s">
        <v>19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f>7500000+300000</f>
        <v>7800000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29</v>
      </c>
      <c r="C4" s="13">
        <f>+G15/C30</f>
        <v>8963194.2646673322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8">
        <f>-1750000+175000</f>
        <v>-1575000</v>
      </c>
      <c r="J5" s="18">
        <f>SUM(G5:I5)</f>
        <v>-1575000</v>
      </c>
      <c r="K5" s="20">
        <f>-C3</f>
        <v>-7800000</v>
      </c>
      <c r="L5" s="20">
        <f>+C6</f>
        <v>0</v>
      </c>
      <c r="M5" s="19"/>
      <c r="N5" s="21">
        <f>SUM(J5:M5)</f>
        <v>-9375000</v>
      </c>
      <c r="O5" s="15">
        <f t="shared" ref="O5:O15" si="0">+N5/(1+$C$28)^F5</f>
        <v>-9375000</v>
      </c>
      <c r="P5" s="12"/>
    </row>
    <row r="6" spans="1:16" x14ac:dyDescent="0.25">
      <c r="A6" s="24"/>
      <c r="B6" s="25" t="s">
        <v>31</v>
      </c>
      <c r="C6" s="13">
        <v>0</v>
      </c>
      <c r="D6" s="26"/>
      <c r="E6" s="11"/>
      <c r="F6" s="11">
        <f>+F5+1</f>
        <v>1</v>
      </c>
      <c r="G6" s="18">
        <f>+C9</f>
        <v>750000</v>
      </c>
      <c r="H6" s="18">
        <f>-C12</f>
        <v>-100000</v>
      </c>
      <c r="I6" s="18"/>
      <c r="J6" s="18">
        <f>SUM(G6:I6)</f>
        <v>650000</v>
      </c>
      <c r="K6" s="18"/>
      <c r="L6" s="18">
        <f>-$C$6*$C$7</f>
        <v>0</v>
      </c>
      <c r="M6" s="18"/>
      <c r="N6" s="21">
        <f>SUM(J6:M6)</f>
        <v>650000</v>
      </c>
      <c r="O6" s="15">
        <f t="shared" si="0"/>
        <v>619047.61904761905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15" si="1">+G6*(1+$C$10)</f>
        <v>765000</v>
      </c>
      <c r="H7" s="18">
        <f t="shared" ref="H7:H15" si="2">+H6*(1+$C$13)</f>
        <v>-103000</v>
      </c>
      <c r="I7" s="18"/>
      <c r="J7" s="18">
        <f t="shared" ref="J7:J15" si="3">SUM(G7:I7)</f>
        <v>662000</v>
      </c>
      <c r="K7" s="18"/>
      <c r="L7" s="18">
        <f t="shared" ref="L7:L14" si="4">-$C$6*$C$7</f>
        <v>0</v>
      </c>
      <c r="M7" s="18"/>
      <c r="N7" s="21">
        <f t="shared" ref="N7:N15" si="5">SUM(J7:M7)</f>
        <v>662000</v>
      </c>
      <c r="O7" s="15">
        <f t="shared" si="0"/>
        <v>600453.51473922899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780300</v>
      </c>
      <c r="H8" s="18">
        <f t="shared" si="2"/>
        <v>-106090</v>
      </c>
      <c r="I8" s="18"/>
      <c r="J8" s="18">
        <f t="shared" si="3"/>
        <v>674210</v>
      </c>
      <c r="K8" s="18"/>
      <c r="L8" s="18">
        <f t="shared" si="4"/>
        <v>0</v>
      </c>
      <c r="M8" s="18"/>
      <c r="N8" s="21">
        <f t="shared" si="5"/>
        <v>674210</v>
      </c>
      <c r="O8" s="15">
        <f t="shared" si="0"/>
        <v>582407.94730590645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-109272.7</v>
      </c>
      <c r="I9" s="18"/>
      <c r="J9" s="18">
        <f t="shared" si="3"/>
        <v>686633.3</v>
      </c>
      <c r="K9" s="18"/>
      <c r="L9" s="18">
        <f t="shared" si="4"/>
        <v>0</v>
      </c>
      <c r="M9" s="18"/>
      <c r="N9" s="21">
        <f t="shared" si="5"/>
        <v>686633.3</v>
      </c>
      <c r="O9" s="15">
        <f t="shared" si="0"/>
        <v>564894.91518451681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-112550.88099999999</v>
      </c>
      <c r="I10" s="18"/>
      <c r="J10" s="18">
        <f t="shared" si="3"/>
        <v>699273.23900000006</v>
      </c>
      <c r="K10" s="18"/>
      <c r="L10" s="18">
        <f t="shared" si="4"/>
        <v>0</v>
      </c>
      <c r="M10" s="18"/>
      <c r="N10" s="21">
        <f t="shared" si="5"/>
        <v>699273.23900000006</v>
      </c>
      <c r="O10" s="15">
        <f t="shared" si="0"/>
        <v>547898.88026765257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-115927.40742999999</v>
      </c>
      <c r="I11" s="18"/>
      <c r="J11" s="18">
        <f t="shared" si="3"/>
        <v>712133.19496999995</v>
      </c>
      <c r="K11" s="18"/>
      <c r="L11" s="18">
        <f t="shared" si="4"/>
        <v>0</v>
      </c>
      <c r="M11" s="18"/>
      <c r="N11" s="21">
        <f t="shared" si="5"/>
        <v>712133.19496999995</v>
      </c>
      <c r="O11" s="15">
        <f t="shared" si="0"/>
        <v>531404.7545426474</v>
      </c>
      <c r="P11" s="12"/>
    </row>
    <row r="12" spans="1:16" x14ac:dyDescent="0.25">
      <c r="A12" s="24"/>
      <c r="B12" s="25" t="s">
        <v>1</v>
      </c>
      <c r="C12" s="13">
        <v>100000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-119405.2296529</v>
      </c>
      <c r="I12" s="18"/>
      <c r="J12" s="18">
        <f t="shared" si="3"/>
        <v>725216.58479509992</v>
      </c>
      <c r="K12" s="18"/>
      <c r="L12" s="18">
        <f t="shared" si="4"/>
        <v>0</v>
      </c>
      <c r="M12" s="18"/>
      <c r="N12" s="21">
        <f t="shared" si="5"/>
        <v>725216.58479509992</v>
      </c>
      <c r="O12" s="15">
        <f t="shared" si="0"/>
        <v>515397.88711460563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-122987.386542487</v>
      </c>
      <c r="I13" s="18"/>
      <c r="J13" s="18">
        <f t="shared" si="3"/>
        <v>738526.86419447302</v>
      </c>
      <c r="K13" s="18"/>
      <c r="L13" s="18">
        <f t="shared" si="4"/>
        <v>0</v>
      </c>
      <c r="M13" s="18"/>
      <c r="N13" s="21">
        <f t="shared" si="5"/>
        <v>738526.86419447302</v>
      </c>
      <c r="O13" s="15">
        <f t="shared" si="0"/>
        <v>499864.05160243402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-126677.00813876161</v>
      </c>
      <c r="I14" s="18"/>
      <c r="J14" s="18">
        <f t="shared" si="3"/>
        <v>752067.52761293761</v>
      </c>
      <c r="K14" s="18"/>
      <c r="L14" s="18">
        <f t="shared" si="4"/>
        <v>0</v>
      </c>
      <c r="M14" s="18"/>
      <c r="N14" s="21">
        <f t="shared" si="5"/>
        <v>752067.52761293761</v>
      </c>
      <c r="O14" s="15">
        <f t="shared" si="0"/>
        <v>484789.43389717402</v>
      </c>
      <c r="P14" s="12"/>
    </row>
    <row r="15" spans="1:16" x14ac:dyDescent="0.25">
      <c r="A15" s="24"/>
      <c r="B15" s="25" t="s">
        <v>23</v>
      </c>
      <c r="C15" s="32">
        <f>+C3/(C9-C12)</f>
        <v>12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-130477.31838292447</v>
      </c>
      <c r="I15" s="18"/>
      <c r="J15" s="18">
        <f t="shared" si="3"/>
        <v>765842.10808380879</v>
      </c>
      <c r="K15" s="18"/>
      <c r="L15" s="18">
        <f>-$C$6*$C$7-C6</f>
        <v>0</v>
      </c>
      <c r="M15" s="18">
        <f>+C4</f>
        <v>8963194.2646673322</v>
      </c>
      <c r="N15" s="21">
        <f t="shared" si="5"/>
        <v>9729036.372751141</v>
      </c>
      <c r="O15" s="15">
        <f t="shared" si="0"/>
        <v>5972784.373412041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28</v>
      </c>
      <c r="C18" s="25"/>
      <c r="D18" s="26"/>
      <c r="E18" s="11"/>
      <c r="F18" s="25"/>
      <c r="G18" s="38"/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30</v>
      </c>
      <c r="C19" s="31">
        <f>SUM(O6:O15)</f>
        <v>10918943.377113827</v>
      </c>
      <c r="D19" s="26"/>
      <c r="E19" s="11"/>
      <c r="F19" s="25"/>
      <c r="G19" s="40" t="s">
        <v>44</v>
      </c>
      <c r="H19" s="39"/>
      <c r="I19" s="39"/>
      <c r="J19" s="39"/>
      <c r="K19" s="39"/>
      <c r="L19" s="39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40" t="s">
        <v>52</v>
      </c>
      <c r="H20" s="39"/>
      <c r="I20" s="39"/>
      <c r="J20" s="39"/>
      <c r="K20" s="39"/>
      <c r="L20" s="39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40" t="s">
        <v>45</v>
      </c>
      <c r="H21" s="39"/>
      <c r="I21" s="39"/>
      <c r="J21" s="39"/>
      <c r="K21" s="39"/>
      <c r="L21" s="39"/>
      <c r="M21" s="35"/>
      <c r="N21" s="36"/>
      <c r="O21" s="37"/>
      <c r="P21" s="12"/>
    </row>
    <row r="22" spans="1:16" x14ac:dyDescent="0.25">
      <c r="A22" s="24"/>
      <c r="B22" s="25" t="s">
        <v>30</v>
      </c>
      <c r="C22" s="31">
        <f>NPV(C28,N6:N15)+N5</f>
        <v>1543943.3771138247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5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5"/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30</v>
      </c>
      <c r="C25" s="34">
        <f>IRR(N5:N15,C28)</f>
        <v>7.1438197788210145E-2</v>
      </c>
      <c r="D25" s="26"/>
      <c r="E25" s="11"/>
      <c r="F25" s="25"/>
      <c r="G25" s="35"/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5"/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5" t="s">
        <v>22</v>
      </c>
      <c r="B1" s="46"/>
      <c r="C1" s="46"/>
      <c r="D1" s="47"/>
      <c r="E1" s="45" t="s">
        <v>19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f>7500000+300000</f>
        <v>7800000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29</v>
      </c>
      <c r="C4" s="13">
        <f>+G15/C30</f>
        <v>8963194.2646673322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8">
        <f>-1750000+175000</f>
        <v>-1575000</v>
      </c>
      <c r="J5" s="18">
        <f>SUM(G5:I5)</f>
        <v>-1575000</v>
      </c>
      <c r="K5" s="20">
        <f>-C3</f>
        <v>-7800000</v>
      </c>
      <c r="L5" s="20">
        <f>+C6</f>
        <v>300000</v>
      </c>
      <c r="M5" s="19"/>
      <c r="N5" s="21">
        <f>SUM(J5:M5)</f>
        <v>-9075000</v>
      </c>
      <c r="O5" s="15">
        <f t="shared" ref="O5:O15" si="0">+N5/(1+$C$28)^F5</f>
        <v>-9075000</v>
      </c>
      <c r="P5" s="12"/>
    </row>
    <row r="6" spans="1:16" x14ac:dyDescent="0.25">
      <c r="A6" s="24"/>
      <c r="B6" s="25" t="s">
        <v>31</v>
      </c>
      <c r="C6" s="13">
        <v>300000</v>
      </c>
      <c r="D6" s="26"/>
      <c r="E6" s="11"/>
      <c r="F6" s="11">
        <f>+F5+1</f>
        <v>1</v>
      </c>
      <c r="G6" s="18">
        <f>+C9</f>
        <v>750000</v>
      </c>
      <c r="H6" s="18">
        <f>-C12</f>
        <v>-100000</v>
      </c>
      <c r="I6" s="18"/>
      <c r="J6" s="18">
        <f>SUM(G6:I6)</f>
        <v>650000</v>
      </c>
      <c r="K6" s="18"/>
      <c r="L6" s="18">
        <f>-$C$6*$C$7</f>
        <v>-7500</v>
      </c>
      <c r="M6" s="18"/>
      <c r="N6" s="21">
        <f>SUM(J6:M6)</f>
        <v>642500</v>
      </c>
      <c r="O6" s="15">
        <f t="shared" si="0"/>
        <v>611904.76190476189</v>
      </c>
      <c r="P6" s="12"/>
    </row>
    <row r="7" spans="1:16" x14ac:dyDescent="0.25">
      <c r="A7" s="24"/>
      <c r="B7" s="25" t="s">
        <v>27</v>
      </c>
      <c r="C7" s="14">
        <v>2.5000000000000001E-2</v>
      </c>
      <c r="D7" s="26"/>
      <c r="E7" s="11"/>
      <c r="F7" s="11">
        <f>+F6+1</f>
        <v>2</v>
      </c>
      <c r="G7" s="18">
        <f t="shared" ref="G7:G15" si="1">+G6*(1+$C$10)</f>
        <v>765000</v>
      </c>
      <c r="H7" s="18">
        <f t="shared" ref="H7:H15" si="2">+H6*(1+$C$13)</f>
        <v>-103000</v>
      </c>
      <c r="I7" s="18"/>
      <c r="J7" s="18">
        <f t="shared" ref="J7:J15" si="3">SUM(G7:I7)</f>
        <v>662000</v>
      </c>
      <c r="K7" s="18"/>
      <c r="L7" s="18">
        <f t="shared" ref="L7:L14" si="4">-$C$6*$C$7</f>
        <v>-7500</v>
      </c>
      <c r="M7" s="18"/>
      <c r="N7" s="21">
        <f t="shared" ref="N7:N15" si="5">SUM(J7:M7)</f>
        <v>654500</v>
      </c>
      <c r="O7" s="15">
        <f t="shared" si="0"/>
        <v>593650.79365079361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780300</v>
      </c>
      <c r="H8" s="18">
        <f t="shared" si="2"/>
        <v>-106090</v>
      </c>
      <c r="I8" s="18"/>
      <c r="J8" s="18">
        <f t="shared" si="3"/>
        <v>674210</v>
      </c>
      <c r="K8" s="18"/>
      <c r="L8" s="18">
        <f t="shared" si="4"/>
        <v>-7500</v>
      </c>
      <c r="M8" s="18"/>
      <c r="N8" s="21">
        <f t="shared" si="5"/>
        <v>666710</v>
      </c>
      <c r="O8" s="15">
        <f t="shared" si="0"/>
        <v>575929.16531692038</v>
      </c>
      <c r="P8" s="12"/>
    </row>
    <row r="9" spans="1:16" x14ac:dyDescent="0.25">
      <c r="A9" s="24"/>
      <c r="B9" s="25" t="s">
        <v>18</v>
      </c>
      <c r="C9" s="13">
        <v>750000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-109272.7</v>
      </c>
      <c r="I9" s="18"/>
      <c r="J9" s="18">
        <f t="shared" si="3"/>
        <v>686633.3</v>
      </c>
      <c r="K9" s="18"/>
      <c r="L9" s="18">
        <f t="shared" si="4"/>
        <v>-7500</v>
      </c>
      <c r="M9" s="18"/>
      <c r="N9" s="21">
        <f t="shared" si="5"/>
        <v>679133.3</v>
      </c>
      <c r="O9" s="15">
        <f t="shared" si="0"/>
        <v>558724.64662357769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-112550.88099999999</v>
      </c>
      <c r="I10" s="18"/>
      <c r="J10" s="18">
        <f t="shared" si="3"/>
        <v>699273.23900000006</v>
      </c>
      <c r="K10" s="18"/>
      <c r="L10" s="18">
        <f t="shared" si="4"/>
        <v>-7500</v>
      </c>
      <c r="M10" s="18"/>
      <c r="N10" s="21">
        <f t="shared" si="5"/>
        <v>691773.23900000006</v>
      </c>
      <c r="O10" s="15">
        <f t="shared" si="0"/>
        <v>542022.43401913904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-115927.40742999999</v>
      </c>
      <c r="I11" s="18"/>
      <c r="J11" s="18">
        <f t="shared" si="3"/>
        <v>712133.19496999995</v>
      </c>
      <c r="K11" s="18"/>
      <c r="L11" s="18">
        <f t="shared" si="4"/>
        <v>-7500</v>
      </c>
      <c r="M11" s="18"/>
      <c r="N11" s="21">
        <f t="shared" si="5"/>
        <v>704633.19496999995</v>
      </c>
      <c r="O11" s="15">
        <f t="shared" si="0"/>
        <v>525808.13906787266</v>
      </c>
      <c r="P11" s="12"/>
    </row>
    <row r="12" spans="1:16" x14ac:dyDescent="0.25">
      <c r="A12" s="24"/>
      <c r="B12" s="25" t="s">
        <v>1</v>
      </c>
      <c r="C12" s="13">
        <v>100000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-119405.2296529</v>
      </c>
      <c r="I12" s="18"/>
      <c r="J12" s="18">
        <f t="shared" si="3"/>
        <v>725216.58479509992</v>
      </c>
      <c r="K12" s="18"/>
      <c r="L12" s="18">
        <f t="shared" si="4"/>
        <v>-7500</v>
      </c>
      <c r="M12" s="18"/>
      <c r="N12" s="21">
        <f t="shared" si="5"/>
        <v>717716.58479509992</v>
      </c>
      <c r="O12" s="15">
        <f t="shared" si="0"/>
        <v>510067.7771386297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-122987.386542487</v>
      </c>
      <c r="I13" s="18"/>
      <c r="J13" s="18">
        <f t="shared" si="3"/>
        <v>738526.86419447302</v>
      </c>
      <c r="K13" s="18"/>
      <c r="L13" s="18">
        <f t="shared" si="4"/>
        <v>-7500</v>
      </c>
      <c r="M13" s="18"/>
      <c r="N13" s="21">
        <f t="shared" si="5"/>
        <v>731026.86419447302</v>
      </c>
      <c r="O13" s="15">
        <f t="shared" si="0"/>
        <v>494787.75638721883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-126677.00813876161</v>
      </c>
      <c r="I14" s="18"/>
      <c r="J14" s="18">
        <f t="shared" si="3"/>
        <v>752067.52761293761</v>
      </c>
      <c r="K14" s="18"/>
      <c r="L14" s="18">
        <f t="shared" si="4"/>
        <v>-7500</v>
      </c>
      <c r="M14" s="18"/>
      <c r="N14" s="21">
        <f t="shared" si="5"/>
        <v>744567.52761293761</v>
      </c>
      <c r="O14" s="15">
        <f t="shared" si="0"/>
        <v>479954.86702554056</v>
      </c>
      <c r="P14" s="12"/>
    </row>
    <row r="15" spans="1:16" x14ac:dyDescent="0.25">
      <c r="A15" s="24"/>
      <c r="B15" s="25" t="s">
        <v>23</v>
      </c>
      <c r="C15" s="32">
        <f>+C3/(C9-C12)</f>
        <v>12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-130477.31838292447</v>
      </c>
      <c r="I15" s="18"/>
      <c r="J15" s="18">
        <f t="shared" si="3"/>
        <v>765842.10808380879</v>
      </c>
      <c r="K15" s="18"/>
      <c r="L15" s="18">
        <f>-$C$6*$C$7-C6</f>
        <v>-307500</v>
      </c>
      <c r="M15" s="18">
        <f>+C4</f>
        <v>8963194.2646673322</v>
      </c>
      <c r="N15" s="21">
        <f t="shared" si="5"/>
        <v>9421536.372751141</v>
      </c>
      <c r="O15" s="15">
        <f t="shared" si="0"/>
        <v>5784006.0479482571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28</v>
      </c>
      <c r="C18" s="25"/>
      <c r="D18" s="26"/>
      <c r="E18" s="11"/>
      <c r="F18" s="25"/>
      <c r="G18" s="38"/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30</v>
      </c>
      <c r="C19" s="31">
        <f>SUM(O6:O15)</f>
        <v>10676856.389082711</v>
      </c>
      <c r="D19" s="26"/>
      <c r="E19" s="11"/>
      <c r="F19" s="25"/>
      <c r="G19" s="40" t="s">
        <v>43</v>
      </c>
      <c r="H19" s="39"/>
      <c r="I19" s="39"/>
      <c r="J19" s="39"/>
      <c r="K19" s="35"/>
      <c r="L19" s="35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35"/>
      <c r="H20" s="35"/>
      <c r="I20" s="35"/>
      <c r="J20" s="35"/>
      <c r="K20" s="35"/>
      <c r="L20" s="35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35"/>
      <c r="H21" s="35"/>
      <c r="I21" s="35"/>
      <c r="J21" s="35"/>
      <c r="K21" s="35"/>
      <c r="L21" s="35"/>
      <c r="M21" s="35"/>
      <c r="N21" s="36"/>
      <c r="O21" s="37"/>
      <c r="P21" s="12"/>
    </row>
    <row r="22" spans="1:16" x14ac:dyDescent="0.25">
      <c r="A22" s="24"/>
      <c r="B22" s="25" t="s">
        <v>30</v>
      </c>
      <c r="C22" s="31">
        <f>NPV(C28,N6:N15)+N5</f>
        <v>1601856.3890827093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5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5"/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30</v>
      </c>
      <c r="C25" s="34">
        <f>IRR(N5:N15,C28)</f>
        <v>7.298069295321441E-2</v>
      </c>
      <c r="D25" s="26"/>
      <c r="E25" s="11"/>
      <c r="F25" s="25"/>
      <c r="G25" s="35"/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5"/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0" sqref="C20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5" t="s">
        <v>22</v>
      </c>
      <c r="B1" s="46"/>
      <c r="C1" s="46"/>
      <c r="D1" s="47"/>
      <c r="E1" s="45" t="s">
        <v>19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f>7500000+1000000</f>
        <v>8500000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29</v>
      </c>
      <c r="C4" s="13">
        <f>+G15/C30</f>
        <v>9570996.5411914457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8">
        <f>-1750000+175000</f>
        <v>-1575000</v>
      </c>
      <c r="J5" s="18">
        <f>SUM(G5:I5)</f>
        <v>-1575000</v>
      </c>
      <c r="K5" s="20">
        <f>-C3</f>
        <v>-8500000</v>
      </c>
      <c r="L5" s="20">
        <f>+C6</f>
        <v>0</v>
      </c>
      <c r="M5" s="19"/>
      <c r="N5" s="21">
        <f>SUM(J5:M5)</f>
        <v>-10075000</v>
      </c>
      <c r="O5" s="15">
        <f t="shared" ref="O5:O15" si="0">+N5/(1+$C$28)^F5</f>
        <v>-10075000</v>
      </c>
      <c r="P5" s="12"/>
    </row>
    <row r="6" spans="1:16" x14ac:dyDescent="0.25">
      <c r="A6" s="24"/>
      <c r="B6" s="25" t="s">
        <v>31</v>
      </c>
      <c r="C6" s="13">
        <v>0</v>
      </c>
      <c r="D6" s="26"/>
      <c r="E6" s="11"/>
      <c r="F6" s="11">
        <f>+F5+1</f>
        <v>1</v>
      </c>
      <c r="G6" s="18">
        <f>+C9</f>
        <v>800858.1755490941</v>
      </c>
      <c r="H6" s="18">
        <f>-C12</f>
        <v>-100000</v>
      </c>
      <c r="I6" s="18"/>
      <c r="J6" s="18">
        <f>SUM(G6:I6)</f>
        <v>700858.1755490941</v>
      </c>
      <c r="K6" s="18"/>
      <c r="L6" s="18">
        <f>-$C$6*$C$7</f>
        <v>0</v>
      </c>
      <c r="M6" s="18"/>
      <c r="N6" s="21">
        <f>SUM(J6:M6)</f>
        <v>700858.1755490941</v>
      </c>
      <c r="O6" s="15">
        <f t="shared" si="0"/>
        <v>667483.97671342292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15" si="1">+G6*(1+$C$10)</f>
        <v>816875.33906007605</v>
      </c>
      <c r="H7" s="18">
        <f t="shared" ref="H7:H15" si="2">+H6*(1+$C$13)</f>
        <v>-103000</v>
      </c>
      <c r="I7" s="18"/>
      <c r="J7" s="18">
        <f t="shared" ref="J7:J15" si="3">SUM(G7:I7)</f>
        <v>713875.33906007605</v>
      </c>
      <c r="K7" s="18"/>
      <c r="L7" s="18">
        <f t="shared" ref="L7:L14" si="4">-$C$6*$C$7</f>
        <v>0</v>
      </c>
      <c r="M7" s="18"/>
      <c r="N7" s="21">
        <f t="shared" ref="N7:N15" si="5">SUM(J7:M7)</f>
        <v>713875.33906007605</v>
      </c>
      <c r="O7" s="15">
        <f t="shared" si="0"/>
        <v>647505.97647172434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833212.84584127762</v>
      </c>
      <c r="H8" s="18">
        <f t="shared" si="2"/>
        <v>-106090</v>
      </c>
      <c r="I8" s="18"/>
      <c r="J8" s="18">
        <f t="shared" si="3"/>
        <v>727122.84584127762</v>
      </c>
      <c r="K8" s="18"/>
      <c r="L8" s="18">
        <f t="shared" si="4"/>
        <v>0</v>
      </c>
      <c r="M8" s="18"/>
      <c r="N8" s="21">
        <f t="shared" si="5"/>
        <v>727122.84584127762</v>
      </c>
      <c r="O8" s="15">
        <f t="shared" si="0"/>
        <v>628116.05298890185</v>
      </c>
      <c r="P8" s="12"/>
    </row>
    <row r="9" spans="1:16" x14ac:dyDescent="0.25">
      <c r="A9" s="24"/>
      <c r="B9" s="25" t="s">
        <v>18</v>
      </c>
      <c r="C9" s="13">
        <v>800858.1755490941</v>
      </c>
      <c r="D9" s="26"/>
      <c r="E9" s="11"/>
      <c r="F9" s="11">
        <f t="shared" si="6"/>
        <v>4</v>
      </c>
      <c r="G9" s="18">
        <f t="shared" si="1"/>
        <v>849877.10275810317</v>
      </c>
      <c r="H9" s="18">
        <f t="shared" si="2"/>
        <v>-109272.7</v>
      </c>
      <c r="I9" s="18"/>
      <c r="J9" s="18">
        <f t="shared" si="3"/>
        <v>740604.40275810321</v>
      </c>
      <c r="K9" s="18"/>
      <c r="L9" s="18">
        <f t="shared" si="4"/>
        <v>0</v>
      </c>
      <c r="M9" s="18"/>
      <c r="N9" s="21">
        <f t="shared" si="5"/>
        <v>740604.40275810321</v>
      </c>
      <c r="O9" s="15">
        <f t="shared" si="0"/>
        <v>609297.07499085518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866874.6448132653</v>
      </c>
      <c r="H10" s="18">
        <f t="shared" si="2"/>
        <v>-112550.88099999999</v>
      </c>
      <c r="I10" s="18"/>
      <c r="J10" s="18">
        <f t="shared" si="3"/>
        <v>754323.76381326537</v>
      </c>
      <c r="K10" s="18"/>
      <c r="L10" s="18">
        <f t="shared" si="4"/>
        <v>0</v>
      </c>
      <c r="M10" s="18"/>
      <c r="N10" s="21">
        <f t="shared" si="5"/>
        <v>754323.76381326537</v>
      </c>
      <c r="O10" s="15">
        <f t="shared" si="0"/>
        <v>591032.40693666704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884212.13770953065</v>
      </c>
      <c r="H11" s="18">
        <f t="shared" si="2"/>
        <v>-115927.40742999999</v>
      </c>
      <c r="I11" s="18"/>
      <c r="J11" s="18">
        <f t="shared" si="3"/>
        <v>768284.73027953063</v>
      </c>
      <c r="K11" s="18"/>
      <c r="L11" s="18">
        <f t="shared" si="4"/>
        <v>0</v>
      </c>
      <c r="M11" s="18"/>
      <c r="N11" s="21">
        <f t="shared" si="5"/>
        <v>768284.73027953063</v>
      </c>
      <c r="O11" s="15">
        <f t="shared" si="0"/>
        <v>573305.89473540441</v>
      </c>
      <c r="P11" s="12"/>
    </row>
    <row r="12" spans="1:16" x14ac:dyDescent="0.25">
      <c r="A12" s="24"/>
      <c r="B12" s="25" t="s">
        <v>1</v>
      </c>
      <c r="C12" s="13">
        <v>100000</v>
      </c>
      <c r="D12" s="26"/>
      <c r="E12" s="11"/>
      <c r="F12" s="11">
        <f t="shared" si="6"/>
        <v>7</v>
      </c>
      <c r="G12" s="18">
        <f t="shared" si="1"/>
        <v>901896.38046372123</v>
      </c>
      <c r="H12" s="18">
        <f t="shared" si="2"/>
        <v>-119405.2296529</v>
      </c>
      <c r="I12" s="18"/>
      <c r="J12" s="18">
        <f t="shared" si="3"/>
        <v>782491.15081082121</v>
      </c>
      <c r="K12" s="18"/>
      <c r="L12" s="18">
        <f t="shared" si="4"/>
        <v>0</v>
      </c>
      <c r="M12" s="18"/>
      <c r="N12" s="21">
        <f t="shared" si="5"/>
        <v>782491.15081082121</v>
      </c>
      <c r="O12" s="15">
        <f t="shared" si="0"/>
        <v>556101.85187328386</v>
      </c>
      <c r="P12" s="12"/>
    </row>
    <row r="13" spans="1:16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919934.30807299563</v>
      </c>
      <c r="H13" s="18">
        <f t="shared" si="2"/>
        <v>-122987.386542487</v>
      </c>
      <c r="I13" s="18"/>
      <c r="J13" s="18">
        <f t="shared" si="3"/>
        <v>796946.92153050867</v>
      </c>
      <c r="K13" s="18"/>
      <c r="L13" s="18">
        <f t="shared" si="4"/>
        <v>0</v>
      </c>
      <c r="M13" s="18"/>
      <c r="N13" s="21">
        <f t="shared" si="5"/>
        <v>796946.92153050867</v>
      </c>
      <c r="O13" s="15">
        <f t="shared" si="0"/>
        <v>539405.04593943572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938332.99423445552</v>
      </c>
      <c r="H14" s="18">
        <f t="shared" si="2"/>
        <v>-126677.00813876161</v>
      </c>
      <c r="I14" s="18"/>
      <c r="J14" s="18">
        <f t="shared" si="3"/>
        <v>811655.98609569389</v>
      </c>
      <c r="K14" s="18"/>
      <c r="L14" s="18">
        <f t="shared" si="4"/>
        <v>0</v>
      </c>
      <c r="M14" s="18"/>
      <c r="N14" s="21">
        <f t="shared" si="5"/>
        <v>811655.98609569389</v>
      </c>
      <c r="O14" s="15">
        <f t="shared" si="0"/>
        <v>523200.6855388328</v>
      </c>
      <c r="P14" s="12"/>
    </row>
    <row r="15" spans="1:16" x14ac:dyDescent="0.25">
      <c r="A15" s="24"/>
      <c r="B15" s="25" t="s">
        <v>23</v>
      </c>
      <c r="C15" s="32">
        <f>+C3/(C9-C12)</f>
        <v>12.127988652398315</v>
      </c>
      <c r="D15" s="26"/>
      <c r="E15" s="11"/>
      <c r="F15" s="11">
        <f t="shared" si="6"/>
        <v>10</v>
      </c>
      <c r="G15" s="18">
        <f t="shared" si="1"/>
        <v>957099.65411914466</v>
      </c>
      <c r="H15" s="18">
        <f t="shared" si="2"/>
        <v>-130477.31838292447</v>
      </c>
      <c r="I15" s="18"/>
      <c r="J15" s="18">
        <f t="shared" si="3"/>
        <v>826622.33573622024</v>
      </c>
      <c r="K15" s="18"/>
      <c r="L15" s="18">
        <f>-$C$6*$C$7-C6</f>
        <v>0</v>
      </c>
      <c r="M15" s="18">
        <f>+C4</f>
        <v>9570996.5411914457</v>
      </c>
      <c r="N15" s="21">
        <f t="shared" si="5"/>
        <v>10397618.876927666</v>
      </c>
      <c r="O15" s="15">
        <f t="shared" si="0"/>
        <v>6383236.0338114798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28</v>
      </c>
      <c r="C18" s="25"/>
      <c r="D18" s="26"/>
      <c r="E18" s="11"/>
      <c r="F18" s="25"/>
      <c r="G18" s="38"/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30</v>
      </c>
      <c r="C19" s="31">
        <f>SUM(O6:O15)</f>
        <v>11718685.000000007</v>
      </c>
      <c r="D19" s="26"/>
      <c r="E19" s="11"/>
      <c r="F19" s="25"/>
      <c r="G19" s="40" t="s">
        <v>46</v>
      </c>
      <c r="H19" s="39"/>
      <c r="I19" s="39"/>
      <c r="J19" s="39"/>
      <c r="K19" s="39"/>
      <c r="L19" s="35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40" t="s">
        <v>47</v>
      </c>
      <c r="H20" s="43"/>
      <c r="I20" s="39"/>
      <c r="J20" s="39"/>
      <c r="K20" s="39"/>
      <c r="L20" s="35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40" t="s">
        <v>49</v>
      </c>
      <c r="H21" s="39"/>
      <c r="I21" s="39"/>
      <c r="J21" s="39"/>
      <c r="K21" s="39"/>
      <c r="L21" s="35"/>
      <c r="M21" s="35"/>
      <c r="N21" s="36"/>
      <c r="O21" s="37"/>
      <c r="P21" s="12"/>
    </row>
    <row r="22" spans="1:16" x14ac:dyDescent="0.25">
      <c r="A22" s="24"/>
      <c r="B22" s="25" t="s">
        <v>30</v>
      </c>
      <c r="C22" s="31">
        <f>NPV(C28,N6:N15)+N5</f>
        <v>1643685.0000000075</v>
      </c>
      <c r="D22" s="26"/>
      <c r="E22" s="11"/>
      <c r="F22" s="25"/>
      <c r="G22" s="44" t="s">
        <v>48</v>
      </c>
      <c r="H22" s="43"/>
      <c r="I22" s="43"/>
      <c r="J22" s="43"/>
      <c r="K22" s="43"/>
      <c r="L22" s="41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44" t="s">
        <v>53</v>
      </c>
      <c r="H23" s="39"/>
      <c r="I23" s="39"/>
      <c r="J23" s="39"/>
      <c r="K23" s="39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42"/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30</v>
      </c>
      <c r="C25" s="34">
        <f>IRR(N5:N15,C28)</f>
        <v>7.1281594760303824E-2</v>
      </c>
      <c r="D25" s="26"/>
      <c r="E25" s="11"/>
      <c r="F25" s="25"/>
      <c r="G25" s="44" t="s">
        <v>50</v>
      </c>
      <c r="H25" s="39"/>
      <c r="I25" s="39"/>
      <c r="J25" s="39"/>
      <c r="K25" s="39"/>
      <c r="L25" s="39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8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5"/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C19" sqref="C19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4" width="12.5703125" style="3" customWidth="1"/>
    <col min="15" max="15" width="12.5703125" style="1" customWidth="1"/>
    <col min="16" max="16" width="15.5703125" style="1" customWidth="1"/>
    <col min="17" max="17" width="3.5703125" style="1" customWidth="1"/>
    <col min="18" max="16384" width="9" style="1"/>
  </cols>
  <sheetData>
    <row r="1" spans="1:17" ht="26.25" customHeight="1" x14ac:dyDescent="0.35">
      <c r="A1" s="45" t="s">
        <v>22</v>
      </c>
      <c r="B1" s="46"/>
      <c r="C1" s="46"/>
      <c r="D1" s="47"/>
      <c r="E1" s="45" t="s">
        <v>19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9"/>
      <c r="O2" s="11"/>
      <c r="P2" s="11"/>
      <c r="Q2" s="12"/>
    </row>
    <row r="3" spans="1:17" x14ac:dyDescent="0.25">
      <c r="A3" s="24"/>
      <c r="B3" s="25" t="s">
        <v>16</v>
      </c>
      <c r="C3" s="13">
        <f>7500000+1000000</f>
        <v>8500000</v>
      </c>
      <c r="D3" s="26"/>
      <c r="E3" s="12"/>
      <c r="F3" s="9"/>
      <c r="G3" s="6" t="s">
        <v>17</v>
      </c>
      <c r="H3" s="8" t="s">
        <v>2</v>
      </c>
      <c r="I3" s="8" t="s">
        <v>51</v>
      </c>
      <c r="J3" s="8" t="s">
        <v>4</v>
      </c>
      <c r="K3" s="8" t="s">
        <v>9</v>
      </c>
      <c r="L3" s="8"/>
      <c r="M3" s="8"/>
      <c r="N3" s="8"/>
      <c r="O3" s="4"/>
      <c r="P3" s="8" t="s">
        <v>20</v>
      </c>
      <c r="Q3" s="12"/>
    </row>
    <row r="4" spans="1:17" x14ac:dyDescent="0.25">
      <c r="A4" s="24"/>
      <c r="B4" s="25" t="s">
        <v>29</v>
      </c>
      <c r="C4" s="13">
        <f>+G15/C30</f>
        <v>8963194.2646673322</v>
      </c>
      <c r="D4" s="26"/>
      <c r="E4" s="12"/>
      <c r="F4" s="10" t="s">
        <v>0</v>
      </c>
      <c r="G4" s="7" t="s">
        <v>10</v>
      </c>
      <c r="H4" s="5" t="s">
        <v>3</v>
      </c>
      <c r="I4" s="5" t="s">
        <v>42</v>
      </c>
      <c r="J4" s="5" t="s">
        <v>5</v>
      </c>
      <c r="K4" s="5" t="s">
        <v>10</v>
      </c>
      <c r="L4" s="5" t="s">
        <v>7</v>
      </c>
      <c r="M4" s="5" t="s">
        <v>26</v>
      </c>
      <c r="N4" s="5" t="s">
        <v>6</v>
      </c>
      <c r="O4" s="5" t="s">
        <v>8</v>
      </c>
      <c r="P4" s="5" t="s">
        <v>21</v>
      </c>
      <c r="Q4" s="12"/>
    </row>
    <row r="5" spans="1:17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8">
        <f>-1750000+175000</f>
        <v>-1575000</v>
      </c>
      <c r="K5" s="18">
        <f>SUM(G5:J5)</f>
        <v>-1575000</v>
      </c>
      <c r="L5" s="20">
        <f>-C3</f>
        <v>-8500000</v>
      </c>
      <c r="M5" s="20">
        <f>+C6</f>
        <v>0</v>
      </c>
      <c r="N5" s="19"/>
      <c r="O5" s="21">
        <f>SUM(K5:N5)</f>
        <v>-10075000</v>
      </c>
      <c r="P5" s="15">
        <f t="shared" ref="P5:P15" si="0">+O5/(1+$C$28)^F5</f>
        <v>-10075000</v>
      </c>
      <c r="Q5" s="12"/>
    </row>
    <row r="6" spans="1:17" x14ac:dyDescent="0.25">
      <c r="A6" s="24"/>
      <c r="B6" s="25" t="s">
        <v>31</v>
      </c>
      <c r="C6" s="13">
        <v>0</v>
      </c>
      <c r="D6" s="26"/>
      <c r="E6" s="11"/>
      <c r="F6" s="11">
        <f>+F5+1</f>
        <v>1</v>
      </c>
      <c r="G6" s="18">
        <v>750000</v>
      </c>
      <c r="H6" s="18">
        <f>-C12</f>
        <v>-100000</v>
      </c>
      <c r="I6" s="18">
        <v>175000</v>
      </c>
      <c r="J6" s="18"/>
      <c r="K6" s="18">
        <f>SUM(G6:J6)</f>
        <v>825000</v>
      </c>
      <c r="L6" s="18"/>
      <c r="M6" s="18">
        <f>-$C$6*$C$7</f>
        <v>0</v>
      </c>
      <c r="N6" s="18"/>
      <c r="O6" s="21">
        <f>SUM(K6:N6)</f>
        <v>825000</v>
      </c>
      <c r="P6" s="15">
        <f t="shared" si="0"/>
        <v>785714.28571428568</v>
      </c>
      <c r="Q6" s="12"/>
    </row>
    <row r="7" spans="1:17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15" si="1">+G6*(1+$C$10)</f>
        <v>765000</v>
      </c>
      <c r="H7" s="18">
        <f t="shared" ref="H7:H15" si="2">+H6*(1+$C$13)</f>
        <v>-103000</v>
      </c>
      <c r="I7" s="18">
        <v>175000</v>
      </c>
      <c r="J7" s="18"/>
      <c r="K7" s="18">
        <f t="shared" ref="K7:K15" si="3">SUM(G7:J7)</f>
        <v>837000</v>
      </c>
      <c r="L7" s="18"/>
      <c r="M7" s="18">
        <f t="shared" ref="M7:M14" si="4">-$C$6*$C$7</f>
        <v>0</v>
      </c>
      <c r="N7" s="18"/>
      <c r="O7" s="21">
        <f t="shared" ref="O7:O15" si="5">SUM(K7:N7)</f>
        <v>837000</v>
      </c>
      <c r="P7" s="15">
        <f t="shared" si="0"/>
        <v>759183.67346938769</v>
      </c>
      <c r="Q7" s="12"/>
    </row>
    <row r="8" spans="1:17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780300</v>
      </c>
      <c r="H8" s="18">
        <f t="shared" si="2"/>
        <v>-106090</v>
      </c>
      <c r="I8" s="18">
        <v>175000</v>
      </c>
      <c r="J8" s="18"/>
      <c r="K8" s="18">
        <f t="shared" si="3"/>
        <v>849210</v>
      </c>
      <c r="L8" s="18"/>
      <c r="M8" s="18">
        <f t="shared" si="4"/>
        <v>0</v>
      </c>
      <c r="N8" s="18"/>
      <c r="O8" s="21">
        <f t="shared" si="5"/>
        <v>849210</v>
      </c>
      <c r="P8" s="15">
        <f t="shared" si="0"/>
        <v>733579.52704891469</v>
      </c>
      <c r="Q8" s="12"/>
    </row>
    <row r="9" spans="1:17" x14ac:dyDescent="0.25">
      <c r="A9" s="24"/>
      <c r="B9" s="25" t="s">
        <v>18</v>
      </c>
      <c r="C9" s="13">
        <v>800858.1755490941</v>
      </c>
      <c r="D9" s="26"/>
      <c r="E9" s="11"/>
      <c r="F9" s="11">
        <f t="shared" si="6"/>
        <v>4</v>
      </c>
      <c r="G9" s="18">
        <f t="shared" si="1"/>
        <v>795906</v>
      </c>
      <c r="H9" s="18">
        <f t="shared" si="2"/>
        <v>-109272.7</v>
      </c>
      <c r="I9" s="18">
        <v>175000</v>
      </c>
      <c r="J9" s="18"/>
      <c r="K9" s="18">
        <f t="shared" si="3"/>
        <v>861633.3</v>
      </c>
      <c r="L9" s="18"/>
      <c r="M9" s="18">
        <f t="shared" si="4"/>
        <v>0</v>
      </c>
      <c r="N9" s="18"/>
      <c r="O9" s="21">
        <f t="shared" si="5"/>
        <v>861633.3</v>
      </c>
      <c r="P9" s="15">
        <f t="shared" si="0"/>
        <v>708867.84827309614</v>
      </c>
      <c r="Q9" s="12"/>
    </row>
    <row r="10" spans="1:17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811824.12</v>
      </c>
      <c r="H10" s="18">
        <f t="shared" si="2"/>
        <v>-112550.88099999999</v>
      </c>
      <c r="I10" s="18">
        <v>175000</v>
      </c>
      <c r="J10" s="18"/>
      <c r="K10" s="18">
        <f t="shared" si="3"/>
        <v>874273.23900000006</v>
      </c>
      <c r="L10" s="18"/>
      <c r="M10" s="18">
        <f t="shared" si="4"/>
        <v>0</v>
      </c>
      <c r="N10" s="18"/>
      <c r="O10" s="21">
        <f t="shared" si="5"/>
        <v>874273.23900000006</v>
      </c>
      <c r="P10" s="15">
        <f t="shared" si="0"/>
        <v>685015.95939963288</v>
      </c>
      <c r="Q10" s="12"/>
    </row>
    <row r="11" spans="1:17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828060.60239999997</v>
      </c>
      <c r="H11" s="18">
        <f t="shared" si="2"/>
        <v>-115927.40742999999</v>
      </c>
      <c r="I11" s="18">
        <v>175000</v>
      </c>
      <c r="J11" s="18"/>
      <c r="K11" s="18">
        <f t="shared" si="3"/>
        <v>887133.19496999995</v>
      </c>
      <c r="L11" s="18"/>
      <c r="M11" s="18">
        <f t="shared" si="4"/>
        <v>0</v>
      </c>
      <c r="N11" s="18"/>
      <c r="O11" s="21">
        <f t="shared" si="5"/>
        <v>887133.19496999995</v>
      </c>
      <c r="P11" s="15">
        <f t="shared" si="0"/>
        <v>661992.4489540573</v>
      </c>
      <c r="Q11" s="12"/>
    </row>
    <row r="12" spans="1:17" x14ac:dyDescent="0.25">
      <c r="A12" s="24"/>
      <c r="B12" s="25" t="s">
        <v>1</v>
      </c>
      <c r="C12" s="13">
        <v>100000</v>
      </c>
      <c r="D12" s="26"/>
      <c r="E12" s="11"/>
      <c r="F12" s="11">
        <f t="shared" si="6"/>
        <v>7</v>
      </c>
      <c r="G12" s="18">
        <f t="shared" si="1"/>
        <v>844621.81444799993</v>
      </c>
      <c r="H12" s="18">
        <f t="shared" si="2"/>
        <v>-119405.2296529</v>
      </c>
      <c r="I12" s="18">
        <v>175000</v>
      </c>
      <c r="J12" s="18"/>
      <c r="K12" s="18">
        <f t="shared" si="3"/>
        <v>900216.58479509992</v>
      </c>
      <c r="L12" s="18"/>
      <c r="M12" s="18">
        <f t="shared" si="4"/>
        <v>0</v>
      </c>
      <c r="N12" s="18"/>
      <c r="O12" s="21">
        <f t="shared" si="5"/>
        <v>900216.58479509992</v>
      </c>
      <c r="P12" s="15">
        <f t="shared" si="0"/>
        <v>639767.1198873769</v>
      </c>
      <c r="Q12" s="12"/>
    </row>
    <row r="13" spans="1:17" x14ac:dyDescent="0.25">
      <c r="A13" s="24"/>
      <c r="B13" s="25" t="s">
        <v>11</v>
      </c>
      <c r="C13" s="14">
        <v>0.03</v>
      </c>
      <c r="D13" s="26"/>
      <c r="E13" s="11"/>
      <c r="F13" s="11">
        <f t="shared" si="6"/>
        <v>8</v>
      </c>
      <c r="G13" s="18">
        <f t="shared" si="1"/>
        <v>861514.25073695998</v>
      </c>
      <c r="H13" s="18">
        <f t="shared" si="2"/>
        <v>-122987.386542487</v>
      </c>
      <c r="I13" s="18">
        <v>175000</v>
      </c>
      <c r="J13" s="18"/>
      <c r="K13" s="18">
        <f t="shared" si="3"/>
        <v>913526.86419447302</v>
      </c>
      <c r="L13" s="18"/>
      <c r="M13" s="18">
        <f t="shared" si="4"/>
        <v>0</v>
      </c>
      <c r="N13" s="18"/>
      <c r="O13" s="21">
        <f t="shared" si="5"/>
        <v>913526.86419447302</v>
      </c>
      <c r="P13" s="15">
        <f t="shared" si="0"/>
        <v>618310.93995745422</v>
      </c>
      <c r="Q13" s="12"/>
    </row>
    <row r="14" spans="1:17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878744.53575169924</v>
      </c>
      <c r="H14" s="18">
        <f t="shared" si="2"/>
        <v>-126677.00813876161</v>
      </c>
      <c r="I14" s="18">
        <v>175000</v>
      </c>
      <c r="J14" s="18"/>
      <c r="K14" s="18">
        <f t="shared" si="3"/>
        <v>927067.52761293761</v>
      </c>
      <c r="L14" s="18"/>
      <c r="M14" s="18">
        <f t="shared" si="4"/>
        <v>0</v>
      </c>
      <c r="N14" s="18"/>
      <c r="O14" s="21">
        <f t="shared" si="5"/>
        <v>927067.52761293761</v>
      </c>
      <c r="P14" s="15">
        <f t="shared" si="0"/>
        <v>597595.99423528858</v>
      </c>
      <c r="Q14" s="12"/>
    </row>
    <row r="15" spans="1:17" x14ac:dyDescent="0.25">
      <c r="A15" s="24"/>
      <c r="B15" s="25" t="s">
        <v>23</v>
      </c>
      <c r="C15" s="32">
        <f>+C3/(C9-C12)</f>
        <v>12.127988652398315</v>
      </c>
      <c r="D15" s="26"/>
      <c r="E15" s="11"/>
      <c r="F15" s="11">
        <f t="shared" si="6"/>
        <v>10</v>
      </c>
      <c r="G15" s="18">
        <f t="shared" si="1"/>
        <v>896319.42646673322</v>
      </c>
      <c r="H15" s="18">
        <f t="shared" si="2"/>
        <v>-130477.31838292447</v>
      </c>
      <c r="I15" s="18">
        <v>175000</v>
      </c>
      <c r="J15" s="18"/>
      <c r="K15" s="18">
        <f t="shared" si="3"/>
        <v>940842.10808380879</v>
      </c>
      <c r="L15" s="18"/>
      <c r="M15" s="18">
        <f>-$C$6*$C$7-C6</f>
        <v>0</v>
      </c>
      <c r="N15" s="18">
        <f>+C4</f>
        <v>8963194.2646673322</v>
      </c>
      <c r="O15" s="21">
        <f t="shared" si="5"/>
        <v>9904036.372751141</v>
      </c>
      <c r="P15" s="15">
        <f t="shared" si="0"/>
        <v>6080219.1927816737</v>
      </c>
      <c r="Q15" s="12"/>
    </row>
    <row r="16" spans="1:17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18"/>
      <c r="O16" s="21"/>
      <c r="P16" s="15"/>
      <c r="Q16" s="12"/>
    </row>
    <row r="17" spans="1:17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12"/>
    </row>
    <row r="18" spans="1:17" x14ac:dyDescent="0.25">
      <c r="A18" s="24"/>
      <c r="B18" s="25" t="s">
        <v>28</v>
      </c>
      <c r="C18" s="25"/>
      <c r="D18" s="26"/>
      <c r="E18" s="11"/>
      <c r="F18" s="25"/>
      <c r="G18" s="38"/>
      <c r="H18" s="35"/>
      <c r="I18" s="35"/>
      <c r="J18" s="35"/>
      <c r="K18" s="35"/>
      <c r="L18" s="35"/>
      <c r="M18" s="35"/>
      <c r="N18" s="35"/>
      <c r="O18" s="36"/>
      <c r="P18" s="37"/>
      <c r="Q18" s="12"/>
    </row>
    <row r="19" spans="1:17" x14ac:dyDescent="0.25">
      <c r="A19" s="24"/>
      <c r="B19" s="25" t="s">
        <v>30</v>
      </c>
      <c r="C19" s="31">
        <f>SUM(P6:P15)</f>
        <v>12270246.989721168</v>
      </c>
      <c r="D19" s="26"/>
      <c r="E19" s="11"/>
      <c r="F19" s="25"/>
      <c r="G19" s="44" t="s">
        <v>50</v>
      </c>
      <c r="H19" s="39"/>
      <c r="I19" s="39"/>
      <c r="J19" s="39"/>
      <c r="K19" s="39"/>
      <c r="L19" s="39"/>
      <c r="M19" s="35"/>
      <c r="N19" s="35"/>
      <c r="O19" s="36"/>
      <c r="P19" s="37"/>
      <c r="Q19" s="12"/>
    </row>
    <row r="20" spans="1:17" x14ac:dyDescent="0.25">
      <c r="A20" s="24"/>
      <c r="B20" s="25"/>
      <c r="C20" s="25"/>
      <c r="D20" s="26"/>
      <c r="E20" s="11"/>
      <c r="F20" s="25"/>
      <c r="G20" s="38"/>
      <c r="H20" s="35"/>
      <c r="I20" s="35"/>
      <c r="J20" s="35"/>
      <c r="K20" s="35"/>
      <c r="L20" s="35"/>
      <c r="M20" s="35"/>
      <c r="N20" s="35"/>
      <c r="O20" s="36"/>
      <c r="P20" s="37"/>
      <c r="Q20" s="12"/>
    </row>
    <row r="21" spans="1:17" x14ac:dyDescent="0.25">
      <c r="A21" s="24"/>
      <c r="B21" s="25" t="s">
        <v>24</v>
      </c>
      <c r="C21" s="25"/>
      <c r="D21" s="26"/>
      <c r="E21" s="11"/>
      <c r="F21" s="25"/>
      <c r="G21" s="38"/>
      <c r="H21" s="35"/>
      <c r="I21" s="35"/>
      <c r="J21" s="35"/>
      <c r="K21" s="35"/>
      <c r="L21" s="35"/>
      <c r="M21" s="35"/>
      <c r="N21" s="35"/>
      <c r="O21" s="36"/>
      <c r="P21" s="37"/>
      <c r="Q21" s="12"/>
    </row>
    <row r="22" spans="1:17" x14ac:dyDescent="0.25">
      <c r="A22" s="24"/>
      <c r="B22" s="25" t="s">
        <v>30</v>
      </c>
      <c r="C22" s="31">
        <f>NPV(C28,O6:O15)+O5</f>
        <v>2195246.989721166</v>
      </c>
      <c r="D22" s="26"/>
      <c r="E22" s="11"/>
      <c r="F22" s="25"/>
      <c r="G22" s="38"/>
      <c r="H22" s="35"/>
      <c r="I22" s="35"/>
      <c r="J22" s="35"/>
      <c r="K22" s="35"/>
      <c r="L22" s="35"/>
      <c r="M22" s="41"/>
      <c r="N22" s="35"/>
      <c r="O22" s="36"/>
      <c r="P22" s="37"/>
      <c r="Q22" s="12"/>
    </row>
    <row r="23" spans="1:17" x14ac:dyDescent="0.25">
      <c r="A23" s="24"/>
      <c r="B23" s="25"/>
      <c r="C23" s="25"/>
      <c r="D23" s="26"/>
      <c r="E23" s="11"/>
      <c r="F23" s="25"/>
      <c r="G23" s="38"/>
      <c r="H23" s="35"/>
      <c r="I23" s="35"/>
      <c r="J23" s="35"/>
      <c r="K23" s="35"/>
      <c r="L23" s="35"/>
      <c r="M23" s="35"/>
      <c r="N23" s="35"/>
      <c r="O23" s="36"/>
      <c r="P23" s="37"/>
      <c r="Q23" s="12"/>
    </row>
    <row r="24" spans="1:17" x14ac:dyDescent="0.25">
      <c r="A24" s="24"/>
      <c r="B24" s="25" t="s">
        <v>15</v>
      </c>
      <c r="C24" s="25"/>
      <c r="D24" s="26"/>
      <c r="E24" s="11"/>
      <c r="F24" s="25"/>
      <c r="G24" s="42"/>
      <c r="H24" s="35"/>
      <c r="I24" s="35"/>
      <c r="J24" s="35"/>
      <c r="K24" s="35"/>
      <c r="L24" s="35"/>
      <c r="M24" s="35"/>
      <c r="N24" s="35"/>
      <c r="O24" s="36"/>
      <c r="P24" s="37"/>
      <c r="Q24" s="12"/>
    </row>
    <row r="25" spans="1:17" x14ac:dyDescent="0.25">
      <c r="A25" s="24"/>
      <c r="B25" s="25" t="s">
        <v>30</v>
      </c>
      <c r="C25" s="34">
        <f>IRR(O5:O15,C28)</f>
        <v>7.9058630306491962E-2</v>
      </c>
      <c r="D25" s="26"/>
      <c r="E25" s="11"/>
      <c r="F25" s="25"/>
      <c r="G25" s="42"/>
      <c r="H25" s="35"/>
      <c r="I25" s="35"/>
      <c r="J25" s="35"/>
      <c r="K25" s="35"/>
      <c r="L25" s="35"/>
      <c r="M25" s="35"/>
      <c r="N25" s="35"/>
      <c r="O25" s="36"/>
      <c r="P25" s="37"/>
      <c r="Q25" s="12"/>
    </row>
    <row r="26" spans="1:17" x14ac:dyDescent="0.25">
      <c r="A26" s="24"/>
      <c r="B26" s="25"/>
      <c r="C26" s="25"/>
      <c r="D26" s="26"/>
      <c r="E26" s="11"/>
      <c r="F26" s="25"/>
      <c r="G26" s="42"/>
      <c r="H26" s="35"/>
      <c r="I26" s="35"/>
      <c r="J26" s="35"/>
      <c r="K26" s="35"/>
      <c r="L26" s="35"/>
      <c r="M26" s="35"/>
      <c r="N26" s="35"/>
      <c r="O26" s="36"/>
      <c r="P26" s="37"/>
      <c r="Q26" s="12"/>
    </row>
    <row r="27" spans="1:17" x14ac:dyDescent="0.25">
      <c r="A27" s="24"/>
      <c r="B27" s="25" t="s">
        <v>13</v>
      </c>
      <c r="C27" s="25"/>
      <c r="D27" s="26"/>
      <c r="E27" s="11"/>
      <c r="F27" s="25"/>
      <c r="G27" s="42"/>
      <c r="H27" s="35"/>
      <c r="I27" s="35"/>
      <c r="J27" s="35"/>
      <c r="K27" s="35"/>
      <c r="L27" s="35"/>
      <c r="M27" s="35"/>
      <c r="N27" s="35"/>
      <c r="O27" s="36"/>
      <c r="P27" s="37"/>
      <c r="Q27" s="12"/>
    </row>
    <row r="28" spans="1:17" x14ac:dyDescent="0.25">
      <c r="A28" s="24"/>
      <c r="B28" s="25" t="s">
        <v>25</v>
      </c>
      <c r="C28" s="14">
        <v>0.05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5"/>
      <c r="O28" s="36"/>
      <c r="P28" s="37"/>
      <c r="Q28" s="12"/>
    </row>
    <row r="29" spans="1:17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5"/>
      <c r="O29" s="36"/>
      <c r="P29" s="37"/>
      <c r="Q29" s="12"/>
    </row>
    <row r="30" spans="1:17" x14ac:dyDescent="0.25">
      <c r="A30" s="24"/>
      <c r="B30" s="25" t="s">
        <v>14</v>
      </c>
      <c r="C30" s="30"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5"/>
      <c r="O30" s="36"/>
      <c r="P30" s="37"/>
      <c r="Q30" s="12"/>
    </row>
    <row r="31" spans="1:17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23"/>
      <c r="O31" s="16"/>
      <c r="P31" s="16"/>
      <c r="Q31" s="17"/>
    </row>
  </sheetData>
  <mergeCells count="2">
    <mergeCell ref="A1:D1"/>
    <mergeCell ref="E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kasstroom 10 jaar</vt:lpstr>
      <vt:lpstr>kasstroom 10 jaar - A - uitw</vt:lpstr>
      <vt:lpstr>kasstroom 10 jaar - B - uitw</vt:lpstr>
      <vt:lpstr>kasstroom 10 jaar - C - uitw</vt:lpstr>
      <vt:lpstr>kasstroom 10 jaar - 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Fieggen</dc:creator>
  <cp:lastModifiedBy>Wim Fieggen</cp:lastModifiedBy>
  <dcterms:created xsi:type="dcterms:W3CDTF">2016-10-23T07:49:41Z</dcterms:created>
  <dcterms:modified xsi:type="dcterms:W3CDTF">2017-02-13T22:26:40Z</dcterms:modified>
</cp:coreProperties>
</file>